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defaultThemeVersion="124226"/>
  <xr:revisionPtr revIDLastSave="0" documentId="13_ncr:1_{280A2E5A-9B40-4BEA-860C-094B1AF157D6}" xr6:coauthVersionLast="36" xr6:coauthVersionMax="36" xr10:uidLastSave="{00000000-0000-0000-0000-000000000000}"/>
  <workbookProtection workbookAlgorithmName="SHA-512" workbookHashValue="wp6LmVjr7TrKgZBQL9D5IQh2/+Z/ChT9+IOy+kXdng2WRWaMOGxqQ2Q4fCG4dqHINb6O+JRho925+rSGTsv08A==" workbookSaltValue="7BWnOoKby1W2NMAb0cA+OQ==" workbookSpinCount="100000" lockStructure="1"/>
  <bookViews>
    <workbookView xWindow="240" yWindow="105" windowWidth="14805" windowHeight="8010" xr2:uid="{00000000-000D-0000-FFFF-FFFF00000000}"/>
  </bookViews>
  <sheets>
    <sheet name="Basic Information" sheetId="22" r:id="rId1"/>
    <sheet name="Form of Option" sheetId="7" r:id="rId2"/>
    <sheet name="Fixation Without Option" sheetId="10" r:id="rId3"/>
    <sheet name="Fixation With Option" sheetId="23" r:id="rId4"/>
  </sheets>
  <definedNames>
    <definedName name="_xlnm.Print_Area" localSheetId="3">'Fixation With Option'!$B$1:$AX$64</definedName>
    <definedName name="_xlnm.Print_Area" localSheetId="2">'Fixation Without Option'!$B$1:$AX$58</definedName>
    <definedName name="_xlnm.Print_Area" localSheetId="1">'Form of Option'!$B$2:$AY$65</definedName>
  </definedNames>
  <calcPr calcId="191029"/>
</workbook>
</file>

<file path=xl/calcChain.xml><?xml version="1.0" encoding="utf-8"?>
<calcChain xmlns="http://schemas.openxmlformats.org/spreadsheetml/2006/main">
  <c r="AY25" i="23" l="1"/>
  <c r="X27" i="22" l="1"/>
  <c r="X25" i="22"/>
  <c r="X7" i="22"/>
  <c r="X5" i="22"/>
  <c r="X3" i="22"/>
  <c r="X9" i="22" l="1"/>
  <c r="X10" i="22"/>
  <c r="J63" i="23" l="1"/>
  <c r="J57" i="10"/>
  <c r="J61" i="23"/>
  <c r="J55" i="10"/>
  <c r="H36" i="7"/>
  <c r="X14" i="22"/>
  <c r="AZ25" i="23" l="1"/>
  <c r="AZ7" i="7"/>
  <c r="AY7" i="7"/>
  <c r="CB39" i="23"/>
  <c r="CB33" i="10" l="1"/>
  <c r="AC28" i="22" l="1"/>
  <c r="AB28" i="22"/>
  <c r="AA28" i="22"/>
  <c r="Z28" i="22"/>
  <c r="Y28" i="22"/>
  <c r="AC31" i="22"/>
  <c r="AC32" i="22" s="1"/>
  <c r="AC33" i="22" s="1"/>
  <c r="AC34" i="22" s="1"/>
  <c r="AC35" i="22" s="1"/>
  <c r="AC36" i="22" s="1"/>
  <c r="AC37" i="22" s="1"/>
  <c r="AC38" i="22" s="1"/>
  <c r="AC39" i="22" s="1"/>
  <c r="AC40" i="22" s="1"/>
  <c r="AC41" i="22" s="1"/>
  <c r="AC42" i="22" s="1"/>
  <c r="AC43" i="22" s="1"/>
  <c r="AC44" i="22" s="1"/>
  <c r="AB31" i="22"/>
  <c r="AB32" i="22" s="1"/>
  <c r="AB33" i="22" s="1"/>
  <c r="AB34" i="22" s="1"/>
  <c r="AB35" i="22" s="1"/>
  <c r="AB36" i="22" s="1"/>
  <c r="AB37" i="22" s="1"/>
  <c r="AB38" i="22" s="1"/>
  <c r="AB39" i="22" s="1"/>
  <c r="AB40" i="22" s="1"/>
  <c r="AB41" i="22" s="1"/>
  <c r="AB42" i="22" s="1"/>
  <c r="AB43" i="22" s="1"/>
  <c r="AB44" i="22" s="1"/>
  <c r="AB45" i="22" s="1"/>
  <c r="AB46" i="22" s="1"/>
  <c r="AB47" i="22" s="1"/>
  <c r="AA31" i="22"/>
  <c r="AA32" i="22" s="1"/>
  <c r="AA33" i="22" s="1"/>
  <c r="AA34" i="22" s="1"/>
  <c r="AA35" i="22" s="1"/>
  <c r="AA36" i="22" s="1"/>
  <c r="AA37" i="22" s="1"/>
  <c r="AA38" i="22" s="1"/>
  <c r="AA39" i="22" s="1"/>
  <c r="AA40" i="22" s="1"/>
  <c r="AA41" i="22" s="1"/>
  <c r="AA42" i="22" s="1"/>
  <c r="AA43" i="22" s="1"/>
  <c r="AA44" i="22" s="1"/>
  <c r="AA45" i="22" s="1"/>
  <c r="AA46" i="22" s="1"/>
  <c r="AA47" i="22" s="1"/>
  <c r="AA48" i="22" s="1"/>
  <c r="AA49" i="22" s="1"/>
  <c r="AA50" i="22" s="1"/>
  <c r="AA51" i="22" s="1"/>
  <c r="AA52" i="22" s="1"/>
  <c r="AA53" i="22" s="1"/>
  <c r="AA54" i="22" s="1"/>
  <c r="AA55" i="22" s="1"/>
  <c r="AA56" i="22" s="1"/>
  <c r="AA57" i="22" s="1"/>
  <c r="AA58" i="22" s="1"/>
  <c r="AA59" i="22" s="1"/>
  <c r="AA60" i="22" s="1"/>
  <c r="AA61" i="22" s="1"/>
  <c r="AA62" i="22" s="1"/>
  <c r="AA63" i="22" s="1"/>
  <c r="Z31" i="22"/>
  <c r="Z32" i="22" s="1"/>
  <c r="Z33" i="22" s="1"/>
  <c r="Z34" i="22" s="1"/>
  <c r="Z35" i="22" s="1"/>
  <c r="Z36" i="22" s="1"/>
  <c r="Z37" i="22" s="1"/>
  <c r="Z38" i="22" s="1"/>
  <c r="Z39" i="22" s="1"/>
  <c r="Z40" i="22" s="1"/>
  <c r="Z41" i="22" s="1"/>
  <c r="Z42" i="22" s="1"/>
  <c r="Z43" i="22" s="1"/>
  <c r="Z44" i="22" s="1"/>
  <c r="Z45" i="22" s="1"/>
  <c r="Z46" i="22" s="1"/>
  <c r="Z47" i="22" s="1"/>
  <c r="Z48" i="22" s="1"/>
  <c r="Z49" i="22" s="1"/>
  <c r="Z50" i="22" s="1"/>
  <c r="Z51" i="22" s="1"/>
  <c r="Z52" i="22" s="1"/>
  <c r="Z53" i="22" s="1"/>
  <c r="Z54" i="22" s="1"/>
  <c r="Z55" i="22" s="1"/>
  <c r="Z56" i="22" s="1"/>
  <c r="Z57" i="22" s="1"/>
  <c r="Z58" i="22" s="1"/>
  <c r="Z59" i="22" s="1"/>
  <c r="Z60" i="22" s="1"/>
  <c r="Z61" i="22" s="1"/>
  <c r="Z62" i="22" s="1"/>
  <c r="Z63" i="22" s="1"/>
  <c r="Z64" i="22" s="1"/>
  <c r="Z65" i="22" s="1"/>
  <c r="Z66" i="22" s="1"/>
  <c r="Z67" i="22" s="1"/>
  <c r="Y31" i="22"/>
  <c r="Y32" i="22" s="1"/>
  <c r="Y33" i="22" s="1"/>
  <c r="Y34" i="22" s="1"/>
  <c r="Y35" i="22" s="1"/>
  <c r="Y36" i="22" s="1"/>
  <c r="Y37" i="22" s="1"/>
  <c r="Y38" i="22" s="1"/>
  <c r="Y39" i="22" s="1"/>
  <c r="Y40" i="22" s="1"/>
  <c r="Y41" i="22" s="1"/>
  <c r="Y42" i="22" s="1"/>
  <c r="Y43" i="22" s="1"/>
  <c r="Y44" i="22" s="1"/>
  <c r="Y45" i="22" s="1"/>
  <c r="Y46" i="22" s="1"/>
  <c r="Y47" i="22" s="1"/>
  <c r="Y48" i="22" s="1"/>
  <c r="Y49" i="22" s="1"/>
  <c r="Y50" i="22" s="1"/>
  <c r="Y51" i="22" s="1"/>
  <c r="Y52" i="22" s="1"/>
  <c r="Y53" i="22" s="1"/>
  <c r="Y54" i="22" s="1"/>
  <c r="Y55" i="22" s="1"/>
  <c r="Y56" i="22" s="1"/>
  <c r="Y57" i="22" s="1"/>
  <c r="Y58" i="22" s="1"/>
  <c r="Y59" i="22" s="1"/>
  <c r="Y60" i="22" s="1"/>
  <c r="Y61" i="22" s="1"/>
  <c r="Y62" i="22" s="1"/>
  <c r="Y63" i="22" s="1"/>
  <c r="Y64" i="22" s="1"/>
  <c r="Y65" i="22" s="1"/>
  <c r="Y66" i="22" s="1"/>
  <c r="Y67" i="22" s="1"/>
  <c r="Y68" i="22" s="1"/>
  <c r="Y69" i="22" s="1"/>
  <c r="Y29" i="22" l="1"/>
  <c r="AC29" i="22"/>
  <c r="Z29" i="22"/>
  <c r="AA29" i="22"/>
  <c r="AB29" i="22"/>
  <c r="W13" i="22" l="1"/>
  <c r="AF15" i="10" s="1"/>
  <c r="X13" i="22"/>
  <c r="H9" i="7" l="1"/>
  <c r="F7" i="7"/>
  <c r="AI15" i="10"/>
  <c r="AC15" i="10"/>
  <c r="AE15" i="10" s="1"/>
  <c r="W15" i="22"/>
  <c r="AC23" i="10" l="1"/>
  <c r="AC25" i="10" s="1"/>
  <c r="AC15" i="23"/>
  <c r="AC9" i="23"/>
  <c r="AF15" i="23"/>
  <c r="AC11" i="23"/>
  <c r="AC13" i="23" s="1"/>
  <c r="AI15" i="23"/>
  <c r="AC7" i="23"/>
  <c r="AJ13" i="7"/>
  <c r="AF25" i="23"/>
  <c r="AI25" i="23"/>
  <c r="AC25" i="23"/>
  <c r="F11" i="7"/>
  <c r="R28" i="7"/>
  <c r="R56" i="7" s="1"/>
  <c r="AC9" i="10"/>
  <c r="CA33" i="10"/>
  <c r="AC7" i="10"/>
  <c r="AC11" i="10"/>
  <c r="AC19" i="10" s="1"/>
  <c r="AH15" i="10"/>
  <c r="BO23" i="7"/>
  <c r="AH25" i="23" l="1"/>
  <c r="AH15" i="23"/>
  <c r="AE25" i="23"/>
  <c r="T30" i="7"/>
  <c r="T58" i="7" s="1"/>
  <c r="H34" i="7"/>
  <c r="H62" i="7" s="1"/>
  <c r="W23" i="7"/>
  <c r="CA39" i="23"/>
  <c r="AC23" i="23"/>
  <c r="CB23" i="23" s="1"/>
  <c r="AE15" i="23"/>
  <c r="AA32" i="7"/>
  <c r="H64" i="7"/>
  <c r="AC31" i="23" l="1"/>
  <c r="AF15" i="7"/>
  <c r="BO30" i="7"/>
  <c r="BP23" i="7"/>
  <c r="AC19" i="23" l="1"/>
  <c r="AA60" i="7"/>
  <c r="CD27" i="23" l="1"/>
  <c r="AC27" i="23" s="1"/>
  <c r="CB29" i="23" s="1"/>
  <c r="CC27" i="23"/>
  <c r="CB27" i="23"/>
  <c r="CF27" i="23"/>
  <c r="CE27" i="23"/>
  <c r="AC33" i="23"/>
  <c r="CC23" i="23"/>
  <c r="CE23" i="23"/>
  <c r="CD23" i="23"/>
  <c r="AC17" i="23"/>
  <c r="CA23" i="23"/>
  <c r="AC27" i="10"/>
  <c r="AC13" i="10"/>
  <c r="AC17" i="10" s="1"/>
  <c r="CB35" i="23" l="1"/>
  <c r="CB37" i="23"/>
  <c r="CB23" i="10"/>
  <c r="AC21" i="23"/>
  <c r="CC37" i="23"/>
  <c r="CE35" i="23"/>
  <c r="CC35" i="23"/>
  <c r="CF37" i="23"/>
  <c r="CF35" i="23"/>
  <c r="CD35" i="23"/>
  <c r="CD37" i="23"/>
  <c r="CE37" i="23"/>
  <c r="CC23" i="10"/>
  <c r="CD23" i="10"/>
  <c r="CA23" i="10"/>
  <c r="CE23" i="10"/>
  <c r="AC35" i="23" l="1"/>
  <c r="AC37" i="23"/>
  <c r="AC39" i="23" s="1"/>
  <c r="AC21" i="10"/>
  <c r="CD29" i="23"/>
  <c r="CC29" i="23"/>
  <c r="CE29" i="23"/>
  <c r="CF29" i="23"/>
  <c r="AC29" i="23" l="1"/>
  <c r="E48" i="23"/>
  <c r="K48" i="23"/>
  <c r="H48" i="23"/>
  <c r="AC45" i="23"/>
  <c r="AC41" i="23"/>
  <c r="AC43" i="23"/>
  <c r="AI45" i="23"/>
  <c r="R55" i="23" s="1"/>
  <c r="AF45" i="23"/>
  <c r="P48" i="23"/>
  <c r="CD31" i="10"/>
  <c r="CE29" i="10"/>
  <c r="CD29" i="10"/>
  <c r="CB31" i="10"/>
  <c r="CF29" i="10"/>
  <c r="CC31" i="10"/>
  <c r="CF31" i="10"/>
  <c r="CC29" i="10"/>
  <c r="CE31" i="10"/>
  <c r="CB29" i="10"/>
  <c r="AE45" i="23" l="1"/>
  <c r="J48" i="23"/>
  <c r="P49" i="23"/>
  <c r="G48" i="23"/>
  <c r="E49" i="23"/>
  <c r="H49" i="23"/>
  <c r="K49" i="23"/>
  <c r="AH45" i="23"/>
  <c r="AC29" i="10"/>
  <c r="AC31" i="10"/>
  <c r="AC33" i="10" s="1"/>
  <c r="P50" i="23" l="1"/>
  <c r="H42" i="10"/>
  <c r="K42" i="10"/>
  <c r="E42" i="10"/>
  <c r="AI39" i="10"/>
  <c r="R49" i="10" s="1"/>
  <c r="H50" i="23"/>
  <c r="K50" i="23"/>
  <c r="E50" i="23"/>
  <c r="J49" i="23"/>
  <c r="G49" i="23"/>
  <c r="AC35" i="10"/>
  <c r="AC37" i="10"/>
  <c r="P42" i="10"/>
  <c r="AC39" i="10"/>
  <c r="AF39" i="10"/>
  <c r="G42" i="10" l="1"/>
  <c r="P43" i="10"/>
  <c r="G50" i="23"/>
  <c r="E51" i="23"/>
  <c r="H51" i="23"/>
  <c r="K51" i="23"/>
  <c r="K43" i="10"/>
  <c r="H43" i="10"/>
  <c r="E43" i="10"/>
  <c r="J50" i="23"/>
  <c r="P51" i="23"/>
  <c r="AE39" i="10"/>
  <c r="AH39" i="10"/>
  <c r="J42" i="10"/>
  <c r="P44" i="10" l="1"/>
  <c r="P52" i="23"/>
  <c r="G51" i="23"/>
  <c r="H44" i="10"/>
  <c r="K44" i="10"/>
  <c r="E44" i="10"/>
  <c r="K52" i="23"/>
  <c r="E52" i="23"/>
  <c r="H52" i="23"/>
  <c r="J51" i="23"/>
  <c r="G43" i="10"/>
  <c r="J43" i="10"/>
  <c r="P45" i="10" l="1"/>
  <c r="J52" i="23"/>
  <c r="K53" i="23"/>
  <c r="E53" i="23"/>
  <c r="H53" i="23"/>
  <c r="P53" i="23"/>
  <c r="E45" i="10"/>
  <c r="H45" i="10"/>
  <c r="K45" i="10"/>
  <c r="P46" i="10" s="1"/>
  <c r="G52" i="23"/>
  <c r="G44" i="10"/>
  <c r="J44" i="10"/>
  <c r="J53" i="23" l="1"/>
  <c r="G53" i="23"/>
  <c r="H46" i="10"/>
  <c r="K46" i="10"/>
  <c r="E46" i="10"/>
  <c r="G45" i="10"/>
  <c r="J45" i="10"/>
  <c r="P47" i="10" l="1"/>
  <c r="K47" i="10"/>
  <c r="H47" i="10"/>
  <c r="E47" i="10"/>
  <c r="G46" i="10"/>
  <c r="J46" i="10"/>
  <c r="J47" i="10" l="1"/>
  <c r="G4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7" authorId="0" shapeId="0" xr:uid="{9ED71B98-8077-4330-9E9D-CCD60E2F2D84}">
      <text>
        <r>
          <rPr>
            <b/>
            <sz val="9"/>
            <color indexed="81"/>
            <rFont val="Tahoma"/>
            <family val="2"/>
          </rPr>
          <t xml:space="preserve">PEN:
</t>
        </r>
        <r>
          <rPr>
            <sz val="9"/>
            <color indexed="81"/>
            <rFont val="Tahoma"/>
            <family val="2"/>
          </rPr>
          <t xml:space="preserve">Please enter your Permanent Employee Number.
</t>
        </r>
      </text>
    </comment>
    <comment ref="K9" authorId="0" shapeId="0" xr:uid="{AA4389FA-9DE1-46D0-B6DE-FA147132AD8A}">
      <text>
        <r>
          <rPr>
            <b/>
            <sz val="9"/>
            <color indexed="81"/>
            <rFont val="Tahoma"/>
            <family val="2"/>
          </rPr>
          <t>Designation:</t>
        </r>
        <r>
          <rPr>
            <sz val="9"/>
            <color indexed="81"/>
            <rFont val="Tahoma"/>
            <family val="2"/>
          </rPr>
          <t xml:space="preserve">
Please select your present designation on the date of promotion or placement.</t>
        </r>
      </text>
    </comment>
    <comment ref="K13" authorId="0" shapeId="0" xr:uid="{DBFC5ACC-3566-4F6F-8947-12BBED1C97B9}">
      <text>
        <r>
          <rPr>
            <b/>
            <sz val="9"/>
            <color indexed="81"/>
            <rFont val="Tahoma"/>
            <family val="2"/>
          </rPr>
          <t xml:space="preserve">Exiting Basic Pay:
</t>
        </r>
        <r>
          <rPr>
            <sz val="9"/>
            <color indexed="81"/>
            <rFont val="Tahoma"/>
            <family val="2"/>
          </rPr>
          <t xml:space="preserve">Please enter your current basic pay on the date of placement or promotion.
</t>
        </r>
      </text>
    </comment>
    <comment ref="K17" authorId="0" shapeId="0" xr:uid="{EBB1E6CC-5EC5-478D-8C24-E1A0890D9520}">
      <text>
        <r>
          <rPr>
            <b/>
            <sz val="9"/>
            <color indexed="81"/>
            <rFont val="Tahoma"/>
            <family val="2"/>
          </rPr>
          <t>Personal Pay:</t>
        </r>
        <r>
          <rPr>
            <sz val="9"/>
            <color indexed="81"/>
            <rFont val="Tahoma"/>
            <family val="2"/>
          </rPr>
          <t xml:space="preserve">
If you have any personal pay, please enter it here or leave it blank.</t>
        </r>
      </text>
    </comment>
    <comment ref="K19" authorId="0" shapeId="0" xr:uid="{DF749FB5-14E4-4E44-9C60-605C48030185}">
      <text>
        <r>
          <rPr>
            <b/>
            <sz val="9"/>
            <color indexed="81"/>
            <rFont val="Tahoma"/>
            <family val="2"/>
          </rPr>
          <t>Special Pay</t>
        </r>
        <r>
          <rPr>
            <sz val="9"/>
            <color indexed="81"/>
            <rFont val="Tahoma"/>
            <family val="2"/>
          </rPr>
          <t>:
If you have any special pay, please enter it here or leave it blank.</t>
        </r>
      </text>
    </comment>
    <comment ref="K21" authorId="0" shapeId="0" xr:uid="{4297B4A2-7C36-455E-BDD6-57263A17A4EA}">
      <text>
        <r>
          <rPr>
            <b/>
            <sz val="9"/>
            <color indexed="81"/>
            <rFont val="Tahoma"/>
            <family val="2"/>
          </rPr>
          <t>Any other information:</t>
        </r>
        <r>
          <rPr>
            <sz val="9"/>
            <color indexed="81"/>
            <rFont val="Tahoma"/>
            <family val="2"/>
          </rPr>
          <t xml:space="preserve">
If you want to add any notes to the fixation statement, please enter them here or leave it blank.</t>
        </r>
      </text>
    </comment>
  </commentList>
</comments>
</file>

<file path=xl/sharedStrings.xml><?xml version="1.0" encoding="utf-8"?>
<sst xmlns="http://schemas.openxmlformats.org/spreadsheetml/2006/main" count="217" uniqueCount="104">
  <si>
    <t>:</t>
  </si>
  <si>
    <t>Date</t>
  </si>
  <si>
    <t>FORM OF OPTION</t>
  </si>
  <si>
    <t>(See GO(P)No. 18/2019/HEDN, dated 29/06/2019 and GO(P)No. 29/2019/HEDN, dated 30/09/2019)</t>
  </si>
  <si>
    <t>*1. I,</t>
  </si>
  <si>
    <t>hereby elect the revised pay structure with effect</t>
  </si>
  <si>
    <t>*2. I,</t>
  </si>
  <si>
    <t xml:space="preserve">hereby elect to continue on Pay Band and Grade </t>
  </si>
  <si>
    <t>Pay of my substantive/ officiating post mentioned below until:</t>
  </si>
  <si>
    <t>Rs.</t>
  </si>
  <si>
    <t>UNDERTAKING</t>
  </si>
  <si>
    <t>* To be scored out, if not applicable.</t>
  </si>
  <si>
    <t>* the date of my next increment raising my pay to Rs.</t>
  </si>
  <si>
    <t>Name of the College/University</t>
  </si>
  <si>
    <t>1.</t>
  </si>
  <si>
    <t>Name of the Employee</t>
  </si>
  <si>
    <t>2.</t>
  </si>
  <si>
    <t>3.</t>
  </si>
  <si>
    <t>I hereby undertake that in the event of my pay having been fixed in a manner contrary to the</t>
  </si>
  <si>
    <t>due to me or otherwise.</t>
  </si>
  <si>
    <t>shall be refunded by me to the Government either by adjustment against future payments</t>
  </si>
  <si>
    <t>4.</t>
  </si>
  <si>
    <t>5.</t>
  </si>
  <si>
    <t>/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</si>
  <si>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</si>
  <si>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</si>
  <si>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</si>
  <si>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</si>
  <si>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</si>
  <si>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</si>
  <si>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</si>
  <si>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</si>
  <si>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</si>
  <si>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Date of next increment</t>
  </si>
  <si>
    <t>Date of increment</t>
  </si>
  <si>
    <t>Pay after increment in applicable level of pay matrix</t>
  </si>
  <si>
    <t>15.</t>
  </si>
  <si>
    <t>Any other information</t>
  </si>
  <si>
    <t>Name and Signature of the Head of the office</t>
  </si>
  <si>
    <t>Station</t>
  </si>
  <si>
    <t>(Office Seal)</t>
  </si>
  <si>
    <t>STATEMENT OF FIXATION OF PAY DUE TO FURTHER PLACEMENT</t>
  </si>
  <si>
    <t>Designation of the present post</t>
  </si>
  <si>
    <t>Academic level of the present post</t>
  </si>
  <si>
    <t>Date of placement to the higher post</t>
  </si>
  <si>
    <t>Designation of the higher post in which pay is 
to be fixed</t>
  </si>
  <si>
    <t>Academic level of the higher post</t>
  </si>
  <si>
    <t>Applicable cell of the present post</t>
  </si>
  <si>
    <t>Existing Basic Pay in the applicable cell</t>
  </si>
  <si>
    <t>Figure in the next higher applicable cell (After adding a notional increment of 3% of the existing basic pay and rounded off to the nearest hundred)</t>
  </si>
  <si>
    <t>Applicable academic level after placement</t>
  </si>
  <si>
    <t>Applicable cell number in the higher academic level containing the amount equal to or higher obtained in Serial No.10</t>
  </si>
  <si>
    <t>The figure arrived as per Sl.No.12</t>
  </si>
  <si>
    <t>Basic Pay fixed for the higher post
(The amount as per Sl.No.13)</t>
  </si>
  <si>
    <t>16.</t>
  </si>
  <si>
    <t>Name of College</t>
  </si>
  <si>
    <t>PEN</t>
  </si>
  <si>
    <t>Place</t>
  </si>
  <si>
    <t>* /the date of my promotion</t>
  </si>
  <si>
    <t>/ up gradation to the post of</t>
  </si>
  <si>
    <r>
      <rPr>
        <i/>
        <sz val="11"/>
        <color theme="1"/>
        <rFont val="Calibri"/>
        <family val="2"/>
        <scheme val="minor"/>
      </rPr>
      <t>Please ensure that the "</t>
    </r>
    <r>
      <rPr>
        <b/>
        <i/>
        <sz val="11"/>
        <color rgb="FFFF0000"/>
        <rFont val="Calibri"/>
        <family val="2"/>
        <scheme val="minor"/>
      </rPr>
      <t>Basic Information</t>
    </r>
    <r>
      <rPr>
        <i/>
        <sz val="11"/>
        <color theme="1"/>
        <rFont val="Calibri"/>
        <family val="2"/>
        <scheme val="minor"/>
      </rPr>
      <t>" sheet is filled out before selecting this sheet.</t>
    </r>
  </si>
  <si>
    <t>Instructions</t>
  </si>
  <si>
    <r>
      <rPr>
        <b/>
        <i/>
        <sz val="14"/>
        <color rgb="FF00B050"/>
        <rFont val="Comic Sans MS"/>
        <family val="4"/>
      </rPr>
      <t>Created By</t>
    </r>
    <r>
      <rPr>
        <b/>
        <i/>
        <sz val="14"/>
        <color theme="1"/>
        <rFont val="Comic Sans MS"/>
        <family val="4"/>
      </rPr>
      <t xml:space="preserve"> : Dr. Libin Kuriakose</t>
    </r>
  </si>
  <si>
    <t>Date of Option if any</t>
  </si>
  <si>
    <r>
      <t>Designation</t>
    </r>
    <r>
      <rPr>
        <sz val="11"/>
        <color rgb="FFFF0000"/>
        <rFont val="Times New Roman"/>
        <family val="1"/>
      </rPr>
      <t>*</t>
    </r>
  </si>
  <si>
    <r>
      <t>Date of Placement / Promotion</t>
    </r>
    <r>
      <rPr>
        <sz val="11"/>
        <color rgb="FFFF0000"/>
        <rFont val="Times New Roman"/>
        <family val="1"/>
      </rPr>
      <t>*</t>
    </r>
  </si>
  <si>
    <r>
      <t>Exiting Basic Pay (Pay in pay band) on the Date of Placement / Promotion</t>
    </r>
    <r>
      <rPr>
        <sz val="11"/>
        <color rgb="FFFF0000"/>
        <rFont val="Times New Roman"/>
        <family val="1"/>
      </rPr>
      <t>*</t>
    </r>
  </si>
  <si>
    <r>
      <t>Date</t>
    </r>
    <r>
      <rPr>
        <sz val="11"/>
        <color rgb="FFFF0000"/>
        <rFont val="Times New Roman"/>
        <family val="1"/>
      </rPr>
      <t>*</t>
    </r>
  </si>
  <si>
    <r>
      <rPr>
        <b/>
        <i/>
        <sz val="12"/>
        <color theme="1"/>
        <rFont val="Times New Roman"/>
        <family val="1"/>
      </rPr>
      <t>1. This is an MS-Excel utility to identify the benefit in basic pay while choosing different dates for the option.                                                                    2. Please use this utility in MS-Excel 2007 or later versions</t>
    </r>
    <r>
      <rPr>
        <b/>
        <sz val="12"/>
        <color theme="1"/>
        <rFont val="Times New Roman"/>
        <family val="1"/>
      </rPr>
      <t>.                  3.</t>
    </r>
    <r>
      <rPr>
        <b/>
        <sz val="12"/>
        <color rgb="FFFF0000"/>
        <rFont val="Times New Roman"/>
        <family val="1"/>
      </rPr>
      <t>The fields marked by an asterisk (*) are mandatory.</t>
    </r>
  </si>
  <si>
    <t>from</t>
  </si>
  <si>
    <t>(P) No. 18/2019/HEDN, dated 29/06/2019)</t>
  </si>
  <si>
    <t>* (provided that such date shall not be beyond the date of the Government Order</t>
  </si>
  <si>
    <t>(See GO(P)No. 38/2020/HEDN, dated 06/11/2020, GO(P)No. 18/2019/HEDN, dated 29/06/2019, and GO(Ms)No. 183/2022/Fin, dated 19/10/2022)</t>
  </si>
  <si>
    <t>Pay from the date of promotion till DNI</t>
  </si>
  <si>
    <t>Applicable cell number till DNI</t>
  </si>
  <si>
    <t>Date of option / Date of Next Increment (DNI)</t>
  </si>
  <si>
    <r>
      <t>Please ensure that the "</t>
    </r>
    <r>
      <rPr>
        <b/>
        <i/>
        <sz val="10"/>
        <color rgb="FFFF0000"/>
        <rFont val="Comic Sans MS"/>
        <family val="4"/>
      </rPr>
      <t>Basic Information</t>
    </r>
    <r>
      <rPr>
        <b/>
        <i/>
        <sz val="10"/>
        <color theme="1"/>
        <rFont val="Comic Sans MS"/>
        <family val="4"/>
      </rPr>
      <t>" sheet is filled out before selecting this sheet.</t>
    </r>
  </si>
  <si>
    <r>
      <rPr>
        <b/>
        <i/>
        <sz val="13"/>
        <color rgb="FF00B050"/>
        <rFont val="Comic Sans MS"/>
        <family val="4"/>
      </rPr>
      <t>Suggestions and Feedback</t>
    </r>
    <r>
      <rPr>
        <b/>
        <i/>
        <sz val="13"/>
        <color theme="1"/>
        <rFont val="Comic Sans MS"/>
        <family val="4"/>
      </rPr>
      <t xml:space="preserve"> </t>
    </r>
    <r>
      <rPr>
        <b/>
        <i/>
        <sz val="12"/>
        <color theme="1"/>
        <rFont val="Comic Sans MS"/>
        <family val="4"/>
      </rPr>
      <t>Email:libinkuriakose@gmail.com Ph:9645260864</t>
    </r>
  </si>
  <si>
    <r>
      <rPr>
        <b/>
        <i/>
        <sz val="13"/>
        <color rgb="FF00B050"/>
        <rFont val="Comic Sans MS"/>
        <family val="4"/>
      </rPr>
      <t>Suggestions and Feedback</t>
    </r>
    <r>
      <rPr>
        <b/>
        <i/>
        <sz val="13"/>
        <color theme="1"/>
        <rFont val="Comic Sans MS"/>
        <family val="4"/>
      </rPr>
      <t xml:space="preserve"> Ph:9645260864 Email:libinkuriakose@gmail.com</t>
    </r>
  </si>
  <si>
    <t>Applicable cell number in the higher academic level containing the amount equal to or higher obtained in Serial No.13</t>
  </si>
  <si>
    <t>The figure arrived as per Sl.No.15</t>
  </si>
  <si>
    <t>Basic Pay fixed for the higher post
(The amount as per Sl.No.16)</t>
  </si>
  <si>
    <t>17.</t>
  </si>
  <si>
    <t>18.</t>
  </si>
  <si>
    <t>19.</t>
  </si>
  <si>
    <t>Personal pay, if admissible</t>
  </si>
  <si>
    <t>Special pay, if admissible</t>
  </si>
  <si>
    <t>Any other Information</t>
  </si>
  <si>
    <t>20.</t>
  </si>
  <si>
    <t>21.</t>
  </si>
  <si>
    <r>
      <t xml:space="preserve">This sheet contains the </t>
    </r>
    <r>
      <rPr>
        <b/>
        <i/>
        <sz val="11"/>
        <color rgb="FFFF0000"/>
        <rFont val="Calibri"/>
        <family val="2"/>
        <scheme val="minor"/>
      </rPr>
      <t>Form of Option</t>
    </r>
    <r>
      <rPr>
        <b/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rgb="FFFF0000"/>
        <rFont val="Calibri"/>
        <family val="2"/>
        <scheme val="minor"/>
      </rPr>
      <t>Undertaking</t>
    </r>
    <r>
      <rPr>
        <b/>
        <i/>
        <sz val="11"/>
        <color theme="1"/>
        <rFont val="Calibri"/>
        <family val="2"/>
        <scheme val="minor"/>
      </rPr>
      <t>.</t>
    </r>
  </si>
  <si>
    <r>
      <t xml:space="preserve">This sheet can be used for the fixation of pay upon placement or promotion, if you are </t>
    </r>
    <r>
      <rPr>
        <b/>
        <sz val="11"/>
        <color rgb="FFFF0000"/>
        <rFont val="Comic Sans MS"/>
        <family val="4"/>
      </rPr>
      <t>not availing of the option facility</t>
    </r>
    <r>
      <rPr>
        <b/>
        <sz val="11"/>
        <color theme="1"/>
        <rFont val="Comic Sans MS"/>
        <family val="4"/>
      </rPr>
      <t>.</t>
    </r>
  </si>
  <si>
    <r>
      <t xml:space="preserve">This sheet can be used for the fixation of pay upon placement or promotion, if you are </t>
    </r>
    <r>
      <rPr>
        <b/>
        <sz val="11"/>
        <color rgb="FFFF0000"/>
        <rFont val="Comic Sans MS"/>
        <family val="4"/>
      </rPr>
      <t>availing of the option facility</t>
    </r>
    <r>
      <rPr>
        <b/>
        <sz val="11"/>
        <color theme="1"/>
        <rFont val="Comic Sans MS"/>
        <family val="4"/>
      </rPr>
      <t>.</t>
    </r>
  </si>
  <si>
    <t>Signature :</t>
  </si>
  <si>
    <t>Name :</t>
  </si>
  <si>
    <t>Designation :</t>
  </si>
  <si>
    <t>Office in which employed :</t>
  </si>
  <si>
    <t>Place :</t>
  </si>
  <si>
    <t>Date :</t>
  </si>
  <si>
    <t>Existing Basic Pay :</t>
  </si>
  <si>
    <t>(See GO(P)No. 18/2019/HEDN, dated 29/06/2019, GO(P)No. 29/2019/HEDN, dated 30/09/2019, GO(P)No. 3/2021/HEDN, dated 23/01/2021, and GO(Ms)No. 183/2022/Fin, dated 19/10/2022)</t>
  </si>
  <si>
    <t>provisions contained in these Rules, as detected subsequently, any excess payment so made</t>
  </si>
  <si>
    <t>Refixation on DNI : Pay after giving two increments at the present Level (After adding the notional and annual increments of 3% each to the existing basic pay and rounding off to the nearest hundred.)</t>
  </si>
  <si>
    <r>
      <rPr>
        <b/>
        <i/>
        <sz val="10"/>
        <color theme="1"/>
        <rFont val="Comic Sans MS"/>
        <family val="4"/>
      </rPr>
      <t>Academic Committee Convenor,  
AKPCTA MG University Area Committee /    Assistant Professor, Department of Physics,   St. Thomas College, Palai.</t>
    </r>
    <r>
      <rPr>
        <b/>
        <i/>
        <sz val="11"/>
        <color theme="1"/>
        <rFont val="Comic Sans MS"/>
        <family val="4"/>
      </rPr>
      <t xml:space="preserve">                     </t>
    </r>
    <r>
      <rPr>
        <b/>
        <i/>
        <sz val="11"/>
        <color rgb="FF00B050"/>
        <rFont val="Comic Sans MS"/>
        <family val="4"/>
      </rPr>
      <t>Suggestions and Feedback</t>
    </r>
    <r>
      <rPr>
        <b/>
        <i/>
        <sz val="11"/>
        <color theme="1"/>
        <rFont val="Comic Sans MS"/>
        <family val="4"/>
      </rPr>
      <t xml:space="preserve">     </t>
    </r>
    <r>
      <rPr>
        <b/>
        <i/>
        <sz val="10"/>
        <color theme="1"/>
        <rFont val="Comic Sans MS"/>
        <family val="4"/>
      </rPr>
      <t>Ph:9645260864 Email:libinkuriakose@gmail.com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</si>
</sst>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164" formatCode=";;;"/>
    <numFmt numFmtId="165" formatCode="0;[Red]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4"/>
      <color theme="1"/>
      <name val="Comic Sans MS"/>
      <family val="4"/>
    </font>
    <font>
      <b/>
      <i/>
      <sz val="13"/>
      <color theme="1"/>
      <name val="Comic Sans MS"/>
      <family val="4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omic Sans MS"/>
      <family val="4"/>
    </font>
    <font>
      <b/>
      <i/>
      <sz val="14"/>
      <color rgb="FF00B050"/>
      <name val="Comic Sans MS"/>
      <family val="4"/>
    </font>
    <font>
      <b/>
      <i/>
      <sz val="11"/>
      <color rgb="FF00B050"/>
      <name val="Comic Sans MS"/>
      <family val="4"/>
    </font>
    <font>
      <b/>
      <i/>
      <sz val="10"/>
      <color theme="1"/>
      <name val="Comic Sans MS"/>
      <family val="4"/>
    </font>
    <font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i/>
      <sz val="10"/>
      <color rgb="FFFF0000"/>
      <name val="Comic Sans MS"/>
      <family val="4"/>
    </font>
    <font>
      <b/>
      <i/>
      <sz val="13"/>
      <color rgb="FF00B050"/>
      <name val="Comic Sans MS"/>
      <family val="4"/>
    </font>
    <font>
      <b/>
      <i/>
      <sz val="12"/>
      <color theme="1"/>
      <name val="Comic Sans MS"/>
      <family val="4"/>
    </font>
    <font>
      <b/>
      <i/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b/>
      <sz val="11"/>
      <color rgb="FFFF000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164" fontId="2" fillId="0" borderId="0" xfId="0" applyNumberFormat="1" applyFont="1" applyProtection="1"/>
    <xf numFmtId="0" fontId="5" fillId="0" borderId="0" xfId="0" applyFont="1" applyProtection="1"/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Protection="1"/>
    <xf numFmtId="0" fontId="2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 vertical="center"/>
    </xf>
    <xf numFmtId="164" fontId="9" fillId="0" borderId="0" xfId="0" applyNumberFormat="1" applyFont="1" applyAlignment="1" applyProtection="1">
      <alignment horizontal="left" vertical="center"/>
    </xf>
    <xf numFmtId="164" fontId="2" fillId="0" borderId="0" xfId="0" applyNumberFormat="1" applyFont="1" applyFill="1" applyProtection="1"/>
    <xf numFmtId="0" fontId="5" fillId="0" borderId="0" xfId="0" applyFont="1" applyFill="1" applyProtection="1"/>
    <xf numFmtId="0" fontId="1" fillId="0" borderId="6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/>
    </xf>
    <xf numFmtId="164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4" fontId="30" fillId="0" borderId="0" xfId="0" applyNumberFormat="1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164" fontId="0" fillId="0" borderId="0" xfId="0" applyNumberFormat="1" applyFont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65" fontId="2" fillId="2" borderId="1" xfId="0" applyNumberFormat="1" applyFont="1" applyFill="1" applyBorder="1" applyAlignment="1" applyProtection="1">
      <alignment horizontal="left" vertical="center"/>
      <protection locked="0"/>
    </xf>
    <xf numFmtId="165" fontId="2" fillId="2" borderId="2" xfId="0" applyNumberFormat="1" applyFont="1" applyFill="1" applyBorder="1" applyAlignment="1" applyProtection="1">
      <alignment horizontal="left" vertical="center"/>
      <protection locked="0"/>
    </xf>
    <xf numFmtId="165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NumberFormat="1" applyFill="1" applyBorder="1" applyAlignment="1" applyProtection="1">
      <alignment horizontal="left" vertical="center" wrapText="1"/>
      <protection locked="0"/>
    </xf>
    <xf numFmtId="0" fontId="0" fillId="2" borderId="3" xfId="0" applyNumberForma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42" fontId="2" fillId="2" borderId="1" xfId="0" applyNumberFormat="1" applyFont="1" applyFill="1" applyBorder="1" applyAlignment="1" applyProtection="1">
      <alignment horizontal="center" vertical="center"/>
      <protection locked="0"/>
    </xf>
    <xf numFmtId="42" fontId="2" fillId="2" borderId="2" xfId="0" applyNumberFormat="1" applyFont="1" applyFill="1" applyBorder="1" applyAlignment="1" applyProtection="1">
      <alignment horizontal="center" vertical="center"/>
      <protection locked="0"/>
    </xf>
    <xf numFmtId="4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distributed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/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quotePrefix="1" applyNumberFormat="1" applyFont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4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1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B91B-482A-4EFD-B8D1-36A05475C0EA}">
  <dimension ref="B2:AI70"/>
  <sheetViews>
    <sheetView showGridLines="0" showRowColHeaders="0" tabSelected="1" workbookViewId="0">
      <selection activeCell="Q27" sqref="Q27:R27"/>
    </sheetView>
  </sheetViews>
  <sheetFormatPr defaultRowHeight="15" x14ac:dyDescent="0.25"/>
  <cols>
    <col min="1" max="1" width="2.140625" style="1" customWidth="1"/>
    <col min="2" max="9" width="4.7109375" style="1" customWidth="1"/>
    <col min="10" max="10" width="1.7109375" style="1" customWidth="1"/>
    <col min="11" max="22" width="4.7109375" style="1" customWidth="1"/>
    <col min="23" max="26" width="5.7109375" style="1" customWidth="1"/>
    <col min="27" max="16384" width="9.140625" style="1"/>
  </cols>
  <sheetData>
    <row r="2" spans="2:35" x14ac:dyDescent="0.25">
      <c r="AD2" s="79" t="s">
        <v>62</v>
      </c>
      <c r="AE2" s="80"/>
      <c r="AF2" s="80"/>
      <c r="AG2" s="80"/>
      <c r="AH2" s="80"/>
    </row>
    <row r="3" spans="2:35" ht="18" customHeight="1" x14ac:dyDescent="0.25">
      <c r="B3" s="71" t="s">
        <v>55</v>
      </c>
      <c r="C3" s="71"/>
      <c r="D3" s="71"/>
      <c r="E3" s="71"/>
      <c r="F3" s="71"/>
      <c r="G3" s="71"/>
      <c r="H3" s="71"/>
      <c r="I3" s="71"/>
      <c r="J3" s="31" t="s">
        <v>0</v>
      </c>
      <c r="K3" s="81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X3" s="53" t="str">
        <f>IF(AND(ISBLANK(K3),ISTEXT(K9),ISNUMBER(K11),ISNUMBER(N11),ISNUMBER(Q11),ISNUMBER(K13)),"Please enter the name of your college.","")</f>
        <v/>
      </c>
      <c r="AD3" s="80"/>
      <c r="AE3" s="80"/>
      <c r="AF3" s="80"/>
      <c r="AG3" s="80"/>
      <c r="AH3" s="80"/>
    </row>
    <row r="4" spans="2:35" ht="8.1" customHeight="1" x14ac:dyDescent="0.25">
      <c r="AD4" s="54" t="s">
        <v>103</v>
      </c>
      <c r="AE4" s="54"/>
      <c r="AF4" s="54"/>
      <c r="AG4" s="54"/>
      <c r="AH4" s="54"/>
    </row>
    <row r="5" spans="2:35" ht="18" customHeight="1" x14ac:dyDescent="0.25">
      <c r="B5" s="71" t="s">
        <v>15</v>
      </c>
      <c r="C5" s="71"/>
      <c r="D5" s="71"/>
      <c r="E5" s="71"/>
      <c r="F5" s="71"/>
      <c r="G5" s="71"/>
      <c r="H5" s="71"/>
      <c r="I5" s="71"/>
      <c r="J5" s="31" t="s">
        <v>0</v>
      </c>
      <c r="K5" s="84"/>
      <c r="L5" s="85"/>
      <c r="M5" s="85"/>
      <c r="N5" s="85"/>
      <c r="O5" s="85"/>
      <c r="P5" s="85"/>
      <c r="Q5" s="85"/>
      <c r="R5" s="85"/>
      <c r="S5" s="85"/>
      <c r="T5" s="85"/>
      <c r="U5" s="85"/>
      <c r="V5" s="86"/>
      <c r="X5" s="53" t="str">
        <f>IF(AND(ISBLANK(K5),ISTEXT(K9),ISNUMBER(K11),ISNUMBER(N11),ISNUMBER(Q11),ISNUMBER(K13)),"Please enter your name.","")</f>
        <v/>
      </c>
      <c r="AD5" s="54"/>
      <c r="AE5" s="54"/>
      <c r="AF5" s="54"/>
      <c r="AG5" s="54"/>
      <c r="AH5" s="54"/>
    </row>
    <row r="6" spans="2:35" ht="8.1" customHeight="1" x14ac:dyDescent="0.25">
      <c r="AD6" s="54"/>
      <c r="AE6" s="54"/>
      <c r="AF6" s="54"/>
      <c r="AG6" s="54"/>
      <c r="AH6" s="54"/>
    </row>
    <row r="7" spans="2:35" ht="18" customHeight="1" x14ac:dyDescent="0.25">
      <c r="B7" s="71" t="s">
        <v>56</v>
      </c>
      <c r="C7" s="71"/>
      <c r="D7" s="71"/>
      <c r="E7" s="71"/>
      <c r="F7" s="71"/>
      <c r="G7" s="71"/>
      <c r="H7" s="71"/>
      <c r="I7" s="71"/>
      <c r="J7" s="31" t="s">
        <v>0</v>
      </c>
      <c r="K7" s="72"/>
      <c r="L7" s="73"/>
      <c r="M7" s="73"/>
      <c r="N7" s="73"/>
      <c r="O7" s="73"/>
      <c r="P7" s="73"/>
      <c r="Q7" s="74"/>
      <c r="R7" s="19"/>
      <c r="S7" s="19"/>
      <c r="T7" s="19"/>
      <c r="U7" s="19"/>
      <c r="V7" s="19"/>
      <c r="W7" s="4"/>
      <c r="X7" s="53" t="str">
        <f>IF(AND(ISBLANK(K7),ISTEXT(K5),ISTEXT(K9),ISNUMBER(K11),ISNUMBER(N11),ISNUMBER(Q11),ISNUMBER(K13)),"Please enter your PEN.","")</f>
        <v/>
      </c>
      <c r="AD7" s="55"/>
      <c r="AE7" s="55"/>
      <c r="AF7" s="55"/>
      <c r="AG7" s="55"/>
      <c r="AH7" s="55"/>
    </row>
    <row r="8" spans="2:35" ht="8.1" customHeight="1" x14ac:dyDescent="0.25">
      <c r="AD8" s="55"/>
      <c r="AE8" s="55"/>
      <c r="AF8" s="55"/>
      <c r="AG8" s="55"/>
      <c r="AH8" s="55"/>
    </row>
    <row r="9" spans="2:35" ht="18" customHeight="1" x14ac:dyDescent="0.25">
      <c r="B9" s="71" t="s">
        <v>64</v>
      </c>
      <c r="C9" s="71"/>
      <c r="D9" s="71"/>
      <c r="E9" s="71"/>
      <c r="F9" s="71"/>
      <c r="G9" s="71"/>
      <c r="H9" s="71"/>
      <c r="I9" s="71"/>
      <c r="J9" s="31" t="s">
        <v>0</v>
      </c>
      <c r="K9" s="64"/>
      <c r="L9" s="69"/>
      <c r="M9" s="69"/>
      <c r="N9" s="69"/>
      <c r="O9" s="69"/>
      <c r="P9" s="69"/>
      <c r="Q9" s="69"/>
      <c r="R9" s="70"/>
      <c r="S9" s="7"/>
      <c r="T9" s="7"/>
      <c r="U9" s="7"/>
      <c r="V9" s="7"/>
      <c r="W9" s="4"/>
      <c r="X9" s="66" t="str">
        <f>IF(OR(AND(ISBLANK(K9),ISNUMBER(K11),ISNUMBER(N11),ISNUMBER(Q11)),AND(ISBLANK(K9),OR(ISTEXT(K3),ISTEXT(K5)))),"Please select your present Designation.","")</f>
        <v/>
      </c>
      <c r="Y9" s="68"/>
      <c r="Z9" s="68"/>
      <c r="AA9" s="68"/>
      <c r="AB9" s="68"/>
      <c r="AC9" s="68"/>
      <c r="AD9" s="55"/>
      <c r="AE9" s="55"/>
      <c r="AF9" s="55"/>
      <c r="AG9" s="55"/>
      <c r="AH9" s="55"/>
    </row>
    <row r="10" spans="2:35" ht="8.1" customHeight="1" x14ac:dyDescent="0.25">
      <c r="X10" s="66" t="str">
        <f>IF(AND(ISBLANK(K5),ISBLANK(K9)),"",IF(AND(OR(ISTEXT(K5),ISTEXT(K9)),OR(ISBLANK(K11),ISBLANK(N11),ISBLANK(Q11))), "Please choose a date of placement/promotion.",""))</f>
        <v/>
      </c>
      <c r="Y10" s="68"/>
      <c r="Z10" s="68"/>
      <c r="AA10" s="68"/>
      <c r="AB10" s="68"/>
      <c r="AC10" s="68"/>
      <c r="AD10" s="55"/>
      <c r="AE10" s="55"/>
      <c r="AF10" s="55"/>
      <c r="AG10" s="55"/>
      <c r="AH10" s="55"/>
    </row>
    <row r="11" spans="2:35" ht="18" customHeight="1" x14ac:dyDescent="0.25">
      <c r="B11" s="71" t="s">
        <v>65</v>
      </c>
      <c r="C11" s="71"/>
      <c r="D11" s="71"/>
      <c r="E11" s="71"/>
      <c r="F11" s="71"/>
      <c r="G11" s="71"/>
      <c r="H11" s="71"/>
      <c r="I11" s="71"/>
      <c r="J11" s="31" t="s">
        <v>0</v>
      </c>
      <c r="K11" s="60"/>
      <c r="L11" s="61"/>
      <c r="M11" s="21" t="s">
        <v>23</v>
      </c>
      <c r="N11" s="60"/>
      <c r="O11" s="61"/>
      <c r="P11" s="21" t="s">
        <v>23</v>
      </c>
      <c r="Q11" s="62"/>
      <c r="R11" s="63"/>
      <c r="S11" s="7"/>
      <c r="T11" s="7"/>
      <c r="U11" s="7"/>
      <c r="V11" s="7"/>
      <c r="X11" s="68"/>
      <c r="Y11" s="68"/>
      <c r="Z11" s="68"/>
      <c r="AA11" s="68"/>
      <c r="AB11" s="68"/>
      <c r="AC11" s="68"/>
      <c r="AD11" s="55"/>
      <c r="AE11" s="55"/>
      <c r="AF11" s="55"/>
      <c r="AG11" s="55"/>
      <c r="AH11" s="55"/>
    </row>
    <row r="12" spans="2:35" ht="8.1" customHeight="1" x14ac:dyDescent="0.25">
      <c r="X12" s="68"/>
      <c r="Y12" s="68"/>
      <c r="Z12" s="68"/>
      <c r="AA12" s="68"/>
      <c r="AB12" s="68"/>
      <c r="AC12" s="68"/>
      <c r="AD12" s="56"/>
      <c r="AE12" s="56"/>
      <c r="AF12" s="56"/>
      <c r="AG12" s="56"/>
      <c r="AH12" s="56"/>
    </row>
    <row r="13" spans="2:35" ht="30" customHeight="1" x14ac:dyDescent="0.25">
      <c r="B13" s="87" t="s">
        <v>66</v>
      </c>
      <c r="C13" s="87"/>
      <c r="D13" s="87"/>
      <c r="E13" s="87"/>
      <c r="F13" s="87"/>
      <c r="G13" s="87"/>
      <c r="H13" s="87"/>
      <c r="I13" s="87"/>
      <c r="J13" s="31" t="s">
        <v>0</v>
      </c>
      <c r="K13" s="88"/>
      <c r="L13" s="89"/>
      <c r="M13" s="89"/>
      <c r="N13" s="89"/>
      <c r="O13" s="89"/>
      <c r="P13" s="89"/>
      <c r="Q13" s="90"/>
      <c r="R13" s="19"/>
      <c r="S13" s="19"/>
      <c r="T13" s="19"/>
      <c r="U13" s="19"/>
      <c r="V13" s="19"/>
      <c r="W13" s="3" t="b">
        <f>IF(AND(ISNUMBER(K11),ISNUMBER(N11),ISNUMBER(Q11),ISNUMBER(K13),ISTEXT(K9)),IF(OR(AND(K9="Assistant Professor - Academic Level 10",OR(K13&lt;57700,K13&gt;182400,Y29)),AND(K9="Assistant Professor - Academic Level 11",OR(K13&lt;68900,K13&gt;205500,Z29)),AND(K9="Assistant Professor - Academic Level 12",OR(K13&lt;79800,K13&gt;211500,AA29)),AND(K9="Associate Professor - Academic Level 13A",OR(K13&lt;131400,K13&gt;217100,AB29)),AND(K9="Professor - Academic Level 14",OR(K13&lt;144200,K13&gt;218200,AC29))),FALSE,TRUE),FALSE)</f>
        <v>0</v>
      </c>
      <c r="X13" s="66" t="str">
        <f>IF(AND(ISNUMBER(K11),ISNUMBER(N11),ISNUMBER(Q11)),IF(AND(ISBLANK(K13),ISTEXT(K9),DATE(Q11,N11,K11)&gt;=DATE(2016,1,1)),"Please enter the basic pay on the date of placement / promotion.",IF(OR(AND(K9="Assistant Professor - Academic Level 10",OR(K13&lt;57700,K13&gt;182400,Y29)),AND(K9="Assistant Professor - Academic Level 11",OR(K13&lt;68900,K13&gt;205500,Z29)),AND(K9="Assistant Professor - Academic Level 12",OR(K13&lt;79800,K13&gt;211500,AA29)),AND(K9="Associate Professor - Academic Level 13A",OR(K13&lt;131400,K13&gt;217100,AB29)),AND(K9="Professor - Academic Level 14",OR(K13&lt;144200,K13&gt;218200,AC29))),"Please enter a valid basic pay for the present post.","")),"")</f>
        <v/>
      </c>
      <c r="Y13" s="66"/>
      <c r="Z13" s="66"/>
      <c r="AA13" s="66"/>
      <c r="AB13" s="66"/>
      <c r="AC13" s="66"/>
      <c r="AE13" s="58" t="s">
        <v>61</v>
      </c>
      <c r="AF13" s="59"/>
      <c r="AG13" s="59"/>
      <c r="AH13" s="59"/>
      <c r="AI13" s="24"/>
    </row>
    <row r="14" spans="2:35" ht="8.1" customHeight="1" x14ac:dyDescent="0.25">
      <c r="X14" s="66" t="str">
        <f>IF(AND(ISNUMBER(K13),AND(ISNUMBER(K11),ISNUMBER(N11),ISNUMBER(Q11)),OR(ISBLANK(K15),ISBLANK(N15),ISBLANK(Q15))),"If you are willing to avail of the option facility, please choose a date for the option, otherwise leave it blank. ",IF(AND(AND(ISNUMBER(Q15),ISNUMBER(N15),ISNUMBER(K15)),AND(ISNUMBER(K11),ISNUMBER(N11),ISNUMBER(Q11))), IF(DATE(Q15,N15,K15)&lt;=DATE(Q11,N11,K11),"Please choose a date of option after the placement/promotion date.",""),""))</f>
        <v/>
      </c>
      <c r="Y14" s="67"/>
      <c r="Z14" s="67"/>
      <c r="AA14" s="67"/>
      <c r="AB14" s="67"/>
      <c r="AC14" s="67"/>
      <c r="AD14" s="67"/>
      <c r="AE14" s="57" t="s">
        <v>68</v>
      </c>
      <c r="AF14" s="56"/>
      <c r="AG14" s="56"/>
      <c r="AH14" s="56"/>
      <c r="AI14" s="24"/>
    </row>
    <row r="15" spans="2:35" ht="18" customHeight="1" x14ac:dyDescent="0.25">
      <c r="B15" s="71" t="s">
        <v>63</v>
      </c>
      <c r="C15" s="71"/>
      <c r="D15" s="71"/>
      <c r="E15" s="71"/>
      <c r="F15" s="71"/>
      <c r="G15" s="71"/>
      <c r="H15" s="71"/>
      <c r="I15" s="71"/>
      <c r="J15" s="31" t="s">
        <v>0</v>
      </c>
      <c r="K15" s="60"/>
      <c r="L15" s="61"/>
      <c r="M15" s="21" t="s">
        <v>23</v>
      </c>
      <c r="N15" s="60"/>
      <c r="O15" s="61"/>
      <c r="P15" s="21" t="s">
        <v>23</v>
      </c>
      <c r="Q15" s="62"/>
      <c r="R15" s="63"/>
      <c r="S15" s="25"/>
      <c r="T15" s="25"/>
      <c r="U15" s="25"/>
      <c r="V15" s="25"/>
      <c r="W15" s="3" t="b">
        <f>IF(AND(AND(ISNUMBER(Q15),ISNUMBER(N15),ISNUMBER(K15)),AND(ISNUMBER(K11),ISNUMBER(N11),ISNUMBER(Q11))), IF(AND(W13=TRUE,DATE(Q15,N15,K15)&gt;DATE(Q11,N11,K11)),TRUE,FALSE),FALSE)</f>
        <v>0</v>
      </c>
      <c r="X15" s="67"/>
      <c r="Y15" s="67"/>
      <c r="Z15" s="67"/>
      <c r="AA15" s="67"/>
      <c r="AB15" s="67"/>
      <c r="AC15" s="67"/>
      <c r="AD15" s="67"/>
      <c r="AE15" s="56"/>
      <c r="AF15" s="56"/>
      <c r="AG15" s="56"/>
      <c r="AH15" s="56"/>
      <c r="AI15" s="24"/>
    </row>
    <row r="16" spans="2:35" ht="8.1" customHeight="1" x14ac:dyDescent="0.25">
      <c r="X16" s="67"/>
      <c r="Y16" s="67"/>
      <c r="Z16" s="67"/>
      <c r="AA16" s="67"/>
      <c r="AB16" s="67"/>
      <c r="AC16" s="67"/>
      <c r="AD16" s="67"/>
      <c r="AE16" s="56"/>
      <c r="AF16" s="56"/>
      <c r="AG16" s="56"/>
      <c r="AH16" s="56"/>
      <c r="AI16" s="24"/>
    </row>
    <row r="17" spans="2:35" ht="18" customHeight="1" x14ac:dyDescent="0.25">
      <c r="B17" s="71" t="s">
        <v>85</v>
      </c>
      <c r="C17" s="71"/>
      <c r="D17" s="71"/>
      <c r="E17" s="71"/>
      <c r="F17" s="71"/>
      <c r="G17" s="71"/>
      <c r="H17" s="71"/>
      <c r="I17" s="71"/>
      <c r="J17" s="31" t="s">
        <v>0</v>
      </c>
      <c r="K17" s="72"/>
      <c r="L17" s="73"/>
      <c r="M17" s="73"/>
      <c r="N17" s="73"/>
      <c r="O17" s="73"/>
      <c r="P17" s="73"/>
      <c r="Q17" s="74"/>
      <c r="X17" s="18"/>
      <c r="AE17" s="56"/>
      <c r="AF17" s="56"/>
      <c r="AG17" s="56"/>
      <c r="AH17" s="56"/>
      <c r="AI17" s="24"/>
    </row>
    <row r="18" spans="2:35" ht="8.1" customHeight="1" x14ac:dyDescent="0.25">
      <c r="AE18" s="56"/>
      <c r="AF18" s="56"/>
      <c r="AG18" s="56"/>
      <c r="AH18" s="56"/>
      <c r="AI18" s="24"/>
    </row>
    <row r="19" spans="2:35" ht="18" customHeight="1" x14ac:dyDescent="0.25">
      <c r="B19" s="71" t="s">
        <v>86</v>
      </c>
      <c r="C19" s="71"/>
      <c r="D19" s="71"/>
      <c r="E19" s="71"/>
      <c r="F19" s="71"/>
      <c r="G19" s="71"/>
      <c r="H19" s="71"/>
      <c r="I19" s="71"/>
      <c r="J19" s="31" t="s">
        <v>0</v>
      </c>
      <c r="K19" s="72"/>
      <c r="L19" s="73"/>
      <c r="M19" s="73"/>
      <c r="N19" s="73"/>
      <c r="O19" s="73"/>
      <c r="P19" s="73"/>
      <c r="Q19" s="74"/>
      <c r="R19" s="19"/>
      <c r="S19" s="19"/>
      <c r="T19" s="19"/>
      <c r="U19" s="19"/>
      <c r="V19" s="19"/>
      <c r="X19" s="18"/>
      <c r="AE19" s="56"/>
      <c r="AF19" s="56"/>
      <c r="AG19" s="56"/>
      <c r="AH19" s="56"/>
      <c r="AI19" s="24"/>
    </row>
    <row r="20" spans="2:35" ht="8.1" customHeight="1" x14ac:dyDescent="0.25">
      <c r="AE20" s="56"/>
      <c r="AF20" s="56"/>
      <c r="AG20" s="56"/>
      <c r="AH20" s="56"/>
    </row>
    <row r="21" spans="2:35" ht="32.1" customHeight="1" x14ac:dyDescent="0.25">
      <c r="B21" s="71" t="s">
        <v>87</v>
      </c>
      <c r="C21" s="71"/>
      <c r="D21" s="71"/>
      <c r="E21" s="71"/>
      <c r="F21" s="71"/>
      <c r="G21" s="71"/>
      <c r="H21" s="71"/>
      <c r="I21" s="71"/>
      <c r="J21" s="31" t="s">
        <v>0</v>
      </c>
      <c r="K21" s="75"/>
      <c r="L21" s="76"/>
      <c r="M21" s="76"/>
      <c r="N21" s="76"/>
      <c r="O21" s="76"/>
      <c r="P21" s="76"/>
      <c r="Q21" s="76"/>
      <c r="R21" s="77"/>
      <c r="S21" s="77"/>
      <c r="T21" s="77"/>
      <c r="U21" s="77"/>
      <c r="V21" s="78"/>
      <c r="X21" s="18"/>
      <c r="AE21" s="56"/>
      <c r="AF21" s="56"/>
      <c r="AG21" s="56"/>
      <c r="AH21" s="56"/>
    </row>
    <row r="22" spans="2:35" ht="8.1" customHeight="1" x14ac:dyDescent="0.25">
      <c r="B22" s="29"/>
      <c r="C22" s="29"/>
      <c r="D22" s="29"/>
      <c r="E22" s="29"/>
      <c r="F22" s="29"/>
      <c r="G22" s="29"/>
      <c r="H22" s="29"/>
      <c r="I22" s="29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X22" s="18"/>
      <c r="AE22" s="56"/>
      <c r="AF22" s="56"/>
      <c r="AG22" s="56"/>
      <c r="AH22" s="56"/>
    </row>
    <row r="23" spans="2:35" ht="18" customHeight="1" x14ac:dyDescent="0.25">
      <c r="B23" s="7"/>
      <c r="C23" s="7"/>
      <c r="D23" s="7"/>
      <c r="E23" s="7"/>
      <c r="F23" s="7"/>
      <c r="G23" s="7"/>
      <c r="H23" s="7"/>
      <c r="I23" s="7"/>
      <c r="J23" s="34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X23" s="18"/>
      <c r="AE23" s="56"/>
      <c r="AF23" s="56"/>
      <c r="AG23" s="56"/>
      <c r="AH23" s="56"/>
    </row>
    <row r="24" spans="2:35" ht="8.1" customHeight="1" x14ac:dyDescent="0.25"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AE24" s="30"/>
      <c r="AF24" s="30"/>
      <c r="AG24" s="30"/>
      <c r="AH24" s="30"/>
    </row>
    <row r="25" spans="2:35" ht="18" customHeight="1" x14ac:dyDescent="0.25">
      <c r="B25" s="71" t="s">
        <v>57</v>
      </c>
      <c r="C25" s="71"/>
      <c r="D25" s="71"/>
      <c r="E25" s="71"/>
      <c r="F25" s="71"/>
      <c r="G25" s="71"/>
      <c r="H25" s="71"/>
      <c r="I25" s="71"/>
      <c r="J25" s="31" t="s">
        <v>0</v>
      </c>
      <c r="K25" s="64"/>
      <c r="L25" s="65"/>
      <c r="M25" s="65"/>
      <c r="N25" s="65"/>
      <c r="O25" s="65"/>
      <c r="P25" s="65"/>
      <c r="Q25" s="65"/>
      <c r="R25" s="8"/>
      <c r="S25" s="7"/>
      <c r="T25" s="7"/>
      <c r="U25" s="7"/>
      <c r="V25" s="7"/>
      <c r="X25" s="53" t="str">
        <f>IF(AND(ISTEXT(K9),ISNUMBER(K13),ISNUMBER(K11),ISNUMBER(N11),ISNUMBER(Q11),ISNUMBER(K13),ISBLANK(K25)),"Please enter the location of your office.","")</f>
        <v/>
      </c>
      <c r="AE25" s="30"/>
      <c r="AF25" s="30"/>
      <c r="AG25" s="30"/>
      <c r="AH25" s="30"/>
    </row>
    <row r="26" spans="2:35" ht="8.1" customHeight="1" x14ac:dyDescent="0.25">
      <c r="AE26" s="30"/>
      <c r="AF26" s="30"/>
      <c r="AG26" s="30"/>
      <c r="AH26" s="30"/>
    </row>
    <row r="27" spans="2:35" ht="18" customHeight="1" x14ac:dyDescent="0.25">
      <c r="B27" s="71" t="s">
        <v>67</v>
      </c>
      <c r="C27" s="71"/>
      <c r="D27" s="71"/>
      <c r="E27" s="71"/>
      <c r="F27" s="71"/>
      <c r="G27" s="71"/>
      <c r="H27" s="71"/>
      <c r="I27" s="71"/>
      <c r="J27" s="31" t="s">
        <v>0</v>
      </c>
      <c r="K27" s="60"/>
      <c r="L27" s="61"/>
      <c r="M27" s="21" t="s">
        <v>23</v>
      </c>
      <c r="N27" s="60"/>
      <c r="O27" s="61"/>
      <c r="P27" s="21" t="s">
        <v>23</v>
      </c>
      <c r="Q27" s="62"/>
      <c r="R27" s="63"/>
      <c r="S27" s="8"/>
      <c r="T27" s="7"/>
      <c r="U27" s="7"/>
      <c r="V27" s="7"/>
      <c r="X27" s="18" t="str">
        <f>IF(AND(ISTEXT(K9),AND(ISNUMBER(K11),ISNUMBER(N11),ISNUMBER(Q11),ISNUMBER(K13)),OR(ISBLANK(K27),ISBLANK(N27),ISBLANK(Q27))),"Please choose a date for submitting the fixation statement.",IF(AND(ISNUMBER(Q27),ISNUMBER(N27),ISNUMBER(K27)), IF(AND(ISNUMBER(K11),ISNUMBER(N11),ISNUMBER(Q11)),IF(DATE(Q27,N27,K27)&lt;=DATE(Q11,N11,K11),"Please choose a date of submission after the placement/promotion date.",IF(AND(ISNUMBER(K15),ISNUMBER(N15),ISNUMBER(Q15)),IF(DATE(Q27,N27,K27)&lt;=DATE(Q15,N15,K15),"Please choose a date of submission after the date of option.",""),"")),""),""))</f>
        <v/>
      </c>
    </row>
    <row r="28" spans="2:35" x14ac:dyDescent="0.25">
      <c r="Y28" s="22">
        <f>K13</f>
        <v>0</v>
      </c>
      <c r="Z28" s="22">
        <f>K13</f>
        <v>0</v>
      </c>
      <c r="AA28" s="22">
        <f>K13</f>
        <v>0</v>
      </c>
      <c r="AB28" s="22">
        <f>K13</f>
        <v>0</v>
      </c>
      <c r="AC28" s="22">
        <f>K13</f>
        <v>0</v>
      </c>
    </row>
    <row r="29" spans="2:35" x14ac:dyDescent="0.25">
      <c r="Y29" s="22" t="b">
        <f>ISNA(VLOOKUP(Y28,Y30:Y69,1,FALSE))</f>
        <v>1</v>
      </c>
      <c r="Z29" s="22" t="b">
        <f>ISNA(VLOOKUP(Z28,Z30:Z67,1,FALSE))</f>
        <v>1</v>
      </c>
      <c r="AA29" s="22" t="b">
        <f>ISNA(VLOOKUP(AA28,AA30:AA63,1,FALSE))</f>
        <v>1</v>
      </c>
      <c r="AB29" s="22" t="b">
        <f>ISNA(VLOOKUP(AB28,AB30:AB47,1,FALSE))</f>
        <v>1</v>
      </c>
      <c r="AC29" s="22" t="b">
        <f>ISNA(VLOOKUP(AC28,AC30:AC44,1,FALSE))</f>
        <v>1</v>
      </c>
    </row>
    <row r="30" spans="2:35" x14ac:dyDescent="0.25">
      <c r="Y30" s="22">
        <v>57700</v>
      </c>
      <c r="Z30" s="22">
        <v>68900</v>
      </c>
      <c r="AA30" s="22">
        <v>79800</v>
      </c>
      <c r="AB30" s="22">
        <v>131400</v>
      </c>
      <c r="AC30" s="3">
        <v>144200</v>
      </c>
    </row>
    <row r="31" spans="2:35" x14ac:dyDescent="0.25">
      <c r="Y31" s="22">
        <f>MROUND(Y30*1.03,100)</f>
        <v>59400</v>
      </c>
      <c r="Z31" s="22">
        <f>MROUND(Z30*1.03,100)</f>
        <v>71000</v>
      </c>
      <c r="AA31" s="22">
        <f t="shared" ref="AA31:AC46" si="0">MROUND(AA30*1.03,100)</f>
        <v>82200</v>
      </c>
      <c r="AB31" s="22">
        <f t="shared" si="0"/>
        <v>135300</v>
      </c>
      <c r="AC31" s="22">
        <f t="shared" si="0"/>
        <v>148500</v>
      </c>
    </row>
    <row r="32" spans="2:35" x14ac:dyDescent="0.25">
      <c r="Y32" s="22">
        <f>MROUND(Y31*1.03,100)</f>
        <v>61200</v>
      </c>
      <c r="Z32" s="22">
        <f t="shared" ref="Z32:AB47" si="1">MROUND(Z31*1.03,100)</f>
        <v>73100</v>
      </c>
      <c r="AA32" s="22">
        <f t="shared" si="0"/>
        <v>84700</v>
      </c>
      <c r="AB32" s="22">
        <f t="shared" si="0"/>
        <v>139400</v>
      </c>
      <c r="AC32" s="22">
        <f t="shared" si="0"/>
        <v>153000</v>
      </c>
    </row>
    <row r="33" spans="25:29" x14ac:dyDescent="0.25">
      <c r="Y33" s="22">
        <f t="shared" ref="Y33:AA48" si="2">MROUND(Y32*1.03,100)</f>
        <v>63000</v>
      </c>
      <c r="Z33" s="22">
        <f t="shared" si="1"/>
        <v>75300</v>
      </c>
      <c r="AA33" s="22">
        <f t="shared" si="0"/>
        <v>87200</v>
      </c>
      <c r="AB33" s="22">
        <f t="shared" si="0"/>
        <v>143600</v>
      </c>
      <c r="AC33" s="22">
        <f t="shared" si="0"/>
        <v>157600</v>
      </c>
    </row>
    <row r="34" spans="25:29" x14ac:dyDescent="0.25">
      <c r="Y34" s="22">
        <f t="shared" si="2"/>
        <v>64900</v>
      </c>
      <c r="Z34" s="22">
        <f t="shared" si="1"/>
        <v>77600</v>
      </c>
      <c r="AA34" s="22">
        <f t="shared" si="0"/>
        <v>89800</v>
      </c>
      <c r="AB34" s="22">
        <f t="shared" si="0"/>
        <v>147900</v>
      </c>
      <c r="AC34" s="22">
        <f t="shared" si="0"/>
        <v>162300</v>
      </c>
    </row>
    <row r="35" spans="25:29" x14ac:dyDescent="0.25">
      <c r="Y35" s="22">
        <f t="shared" si="2"/>
        <v>66800</v>
      </c>
      <c r="Z35" s="22">
        <f t="shared" si="1"/>
        <v>79900</v>
      </c>
      <c r="AA35" s="22">
        <f t="shared" si="0"/>
        <v>92500</v>
      </c>
      <c r="AB35" s="22">
        <f t="shared" si="0"/>
        <v>152300</v>
      </c>
      <c r="AC35" s="22">
        <f t="shared" si="0"/>
        <v>167200</v>
      </c>
    </row>
    <row r="36" spans="25:29" x14ac:dyDescent="0.25">
      <c r="Y36" s="22">
        <f t="shared" si="2"/>
        <v>68800</v>
      </c>
      <c r="Z36" s="22">
        <f t="shared" si="1"/>
        <v>82300</v>
      </c>
      <c r="AA36" s="22">
        <f t="shared" si="0"/>
        <v>95300</v>
      </c>
      <c r="AB36" s="22">
        <f t="shared" si="0"/>
        <v>156900</v>
      </c>
      <c r="AC36" s="22">
        <f t="shared" si="0"/>
        <v>172200</v>
      </c>
    </row>
    <row r="37" spans="25:29" x14ac:dyDescent="0.25">
      <c r="Y37" s="22">
        <f t="shared" si="2"/>
        <v>70900</v>
      </c>
      <c r="Z37" s="22">
        <f t="shared" si="1"/>
        <v>84800</v>
      </c>
      <c r="AA37" s="22">
        <f t="shared" si="0"/>
        <v>98200</v>
      </c>
      <c r="AB37" s="22">
        <f t="shared" si="0"/>
        <v>161600</v>
      </c>
      <c r="AC37" s="22">
        <f t="shared" si="0"/>
        <v>177400</v>
      </c>
    </row>
    <row r="38" spans="25:29" x14ac:dyDescent="0.25">
      <c r="Y38" s="22">
        <f t="shared" si="2"/>
        <v>73000</v>
      </c>
      <c r="Z38" s="22">
        <f t="shared" si="1"/>
        <v>87300</v>
      </c>
      <c r="AA38" s="22">
        <f t="shared" si="0"/>
        <v>101100</v>
      </c>
      <c r="AB38" s="22">
        <f t="shared" si="0"/>
        <v>166400</v>
      </c>
      <c r="AC38" s="22">
        <f t="shared" si="0"/>
        <v>182700</v>
      </c>
    </row>
    <row r="39" spans="25:29" x14ac:dyDescent="0.25">
      <c r="Y39" s="22">
        <f t="shared" si="2"/>
        <v>75200</v>
      </c>
      <c r="Z39" s="22">
        <f t="shared" si="1"/>
        <v>89900</v>
      </c>
      <c r="AA39" s="22">
        <f t="shared" si="0"/>
        <v>104100</v>
      </c>
      <c r="AB39" s="22">
        <f t="shared" si="0"/>
        <v>171400</v>
      </c>
      <c r="AC39" s="22">
        <f t="shared" si="0"/>
        <v>188200</v>
      </c>
    </row>
    <row r="40" spans="25:29" x14ac:dyDescent="0.25">
      <c r="Y40" s="22">
        <f t="shared" si="2"/>
        <v>77500</v>
      </c>
      <c r="Z40" s="22">
        <f t="shared" si="1"/>
        <v>92600</v>
      </c>
      <c r="AA40" s="22">
        <f t="shared" si="0"/>
        <v>107200</v>
      </c>
      <c r="AB40" s="22">
        <f t="shared" si="0"/>
        <v>176500</v>
      </c>
      <c r="AC40" s="22">
        <f t="shared" si="0"/>
        <v>193800</v>
      </c>
    </row>
    <row r="41" spans="25:29" x14ac:dyDescent="0.25">
      <c r="Y41" s="22">
        <f t="shared" si="2"/>
        <v>79800</v>
      </c>
      <c r="Z41" s="22">
        <f t="shared" si="1"/>
        <v>95400</v>
      </c>
      <c r="AA41" s="22">
        <f t="shared" si="0"/>
        <v>110400</v>
      </c>
      <c r="AB41" s="22">
        <f t="shared" si="0"/>
        <v>181800</v>
      </c>
      <c r="AC41" s="22">
        <f t="shared" si="0"/>
        <v>199600</v>
      </c>
    </row>
    <row r="42" spans="25:29" x14ac:dyDescent="0.25">
      <c r="Y42" s="22">
        <f t="shared" si="2"/>
        <v>82200</v>
      </c>
      <c r="Z42" s="22">
        <f t="shared" si="1"/>
        <v>98300</v>
      </c>
      <c r="AA42" s="22">
        <f t="shared" si="0"/>
        <v>113700</v>
      </c>
      <c r="AB42" s="22">
        <f t="shared" si="0"/>
        <v>187300</v>
      </c>
      <c r="AC42" s="22">
        <f t="shared" si="0"/>
        <v>205600</v>
      </c>
    </row>
    <row r="43" spans="25:29" x14ac:dyDescent="0.25">
      <c r="Y43" s="22">
        <f t="shared" si="2"/>
        <v>84700</v>
      </c>
      <c r="Z43" s="22">
        <f t="shared" si="1"/>
        <v>101200</v>
      </c>
      <c r="AA43" s="22">
        <f t="shared" si="0"/>
        <v>117100</v>
      </c>
      <c r="AB43" s="22">
        <f t="shared" si="0"/>
        <v>192900</v>
      </c>
      <c r="AC43" s="22">
        <f t="shared" si="0"/>
        <v>211800</v>
      </c>
    </row>
    <row r="44" spans="25:29" x14ac:dyDescent="0.25">
      <c r="Y44" s="22">
        <f t="shared" si="2"/>
        <v>87200</v>
      </c>
      <c r="Z44" s="22">
        <f t="shared" si="1"/>
        <v>104200</v>
      </c>
      <c r="AA44" s="22">
        <f t="shared" si="0"/>
        <v>120600</v>
      </c>
      <c r="AB44" s="22">
        <f t="shared" si="0"/>
        <v>198700</v>
      </c>
      <c r="AC44" s="22">
        <f t="shared" si="0"/>
        <v>218200</v>
      </c>
    </row>
    <row r="45" spans="25:29" x14ac:dyDescent="0.25">
      <c r="Y45" s="22">
        <f t="shared" si="2"/>
        <v>89800</v>
      </c>
      <c r="Z45" s="22">
        <f t="shared" si="1"/>
        <v>107300</v>
      </c>
      <c r="AA45" s="22">
        <f t="shared" si="0"/>
        <v>124200</v>
      </c>
      <c r="AB45" s="22">
        <f t="shared" si="0"/>
        <v>204700</v>
      </c>
      <c r="AC45" s="22"/>
    </row>
    <row r="46" spans="25:29" x14ac:dyDescent="0.25">
      <c r="Y46" s="22">
        <f t="shared" si="2"/>
        <v>92500</v>
      </c>
      <c r="Z46" s="22">
        <f t="shared" si="1"/>
        <v>110500</v>
      </c>
      <c r="AA46" s="22">
        <f t="shared" si="0"/>
        <v>127900</v>
      </c>
      <c r="AB46" s="22">
        <f t="shared" si="0"/>
        <v>210800</v>
      </c>
      <c r="AC46" s="3"/>
    </row>
    <row r="47" spans="25:29" x14ac:dyDescent="0.25">
      <c r="Y47" s="22">
        <f t="shared" si="2"/>
        <v>95300</v>
      </c>
      <c r="Z47" s="22">
        <f t="shared" si="1"/>
        <v>113800</v>
      </c>
      <c r="AA47" s="22">
        <f t="shared" si="1"/>
        <v>131700</v>
      </c>
      <c r="AB47" s="22">
        <f t="shared" si="1"/>
        <v>217100</v>
      </c>
      <c r="AC47" s="3"/>
    </row>
    <row r="48" spans="25:29" x14ac:dyDescent="0.25">
      <c r="Y48" s="22">
        <f t="shared" si="2"/>
        <v>98200</v>
      </c>
      <c r="Z48" s="22">
        <f t="shared" si="2"/>
        <v>117200</v>
      </c>
      <c r="AA48" s="22">
        <f t="shared" si="2"/>
        <v>135700</v>
      </c>
      <c r="AB48" s="22"/>
      <c r="AC48" s="3"/>
    </row>
    <row r="49" spans="25:29" x14ac:dyDescent="0.25">
      <c r="Y49" s="22">
        <f t="shared" ref="Y49:AA64" si="3">MROUND(Y48*1.03,100)</f>
        <v>101100</v>
      </c>
      <c r="Z49" s="22">
        <f t="shared" si="3"/>
        <v>120700</v>
      </c>
      <c r="AA49" s="22">
        <f t="shared" si="3"/>
        <v>139800</v>
      </c>
      <c r="AB49" s="22"/>
      <c r="AC49" s="3"/>
    </row>
    <row r="50" spans="25:29" x14ac:dyDescent="0.25">
      <c r="Y50" s="22">
        <f t="shared" si="3"/>
        <v>104100</v>
      </c>
      <c r="Z50" s="22">
        <f t="shared" si="3"/>
        <v>124300</v>
      </c>
      <c r="AA50" s="22">
        <f t="shared" si="3"/>
        <v>144000</v>
      </c>
      <c r="AB50" s="22"/>
      <c r="AC50" s="3"/>
    </row>
    <row r="51" spans="25:29" x14ac:dyDescent="0.25">
      <c r="Y51" s="22">
        <f t="shared" si="3"/>
        <v>107200</v>
      </c>
      <c r="Z51" s="22">
        <f t="shared" si="3"/>
        <v>128000</v>
      </c>
      <c r="AA51" s="22">
        <f t="shared" si="3"/>
        <v>148300</v>
      </c>
      <c r="AB51" s="22"/>
      <c r="AC51" s="3"/>
    </row>
    <row r="52" spans="25:29" x14ac:dyDescent="0.25">
      <c r="Y52" s="22">
        <f t="shared" si="3"/>
        <v>110400</v>
      </c>
      <c r="Z52" s="22">
        <f t="shared" si="3"/>
        <v>131800</v>
      </c>
      <c r="AA52" s="22">
        <f t="shared" si="3"/>
        <v>152700</v>
      </c>
      <c r="AB52" s="22"/>
      <c r="AC52" s="3"/>
    </row>
    <row r="53" spans="25:29" x14ac:dyDescent="0.25">
      <c r="Y53" s="22">
        <f t="shared" si="3"/>
        <v>113700</v>
      </c>
      <c r="Z53" s="22">
        <f t="shared" si="3"/>
        <v>135800</v>
      </c>
      <c r="AA53" s="22">
        <f t="shared" si="3"/>
        <v>157300</v>
      </c>
      <c r="AB53" s="22"/>
      <c r="AC53" s="3"/>
    </row>
    <row r="54" spans="25:29" x14ac:dyDescent="0.25">
      <c r="Y54" s="22">
        <f t="shared" si="3"/>
        <v>117100</v>
      </c>
      <c r="Z54" s="22">
        <f t="shared" si="3"/>
        <v>139900</v>
      </c>
      <c r="AA54" s="22">
        <f t="shared" si="3"/>
        <v>162000</v>
      </c>
      <c r="AB54" s="22"/>
      <c r="AC54" s="3"/>
    </row>
    <row r="55" spans="25:29" x14ac:dyDescent="0.25">
      <c r="Y55" s="22">
        <f t="shared" si="3"/>
        <v>120600</v>
      </c>
      <c r="Z55" s="22">
        <f t="shared" si="3"/>
        <v>144100</v>
      </c>
      <c r="AA55" s="22">
        <f t="shared" si="3"/>
        <v>166900</v>
      </c>
      <c r="AB55" s="22"/>
      <c r="AC55" s="3"/>
    </row>
    <row r="56" spans="25:29" x14ac:dyDescent="0.25">
      <c r="Y56" s="22">
        <f t="shared" si="3"/>
        <v>124200</v>
      </c>
      <c r="Z56" s="22">
        <f t="shared" si="3"/>
        <v>148400</v>
      </c>
      <c r="AA56" s="22">
        <f t="shared" si="3"/>
        <v>171900</v>
      </c>
      <c r="AB56" s="3"/>
      <c r="AC56" s="3"/>
    </row>
    <row r="57" spans="25:29" x14ac:dyDescent="0.25">
      <c r="Y57" s="22">
        <f t="shared" si="3"/>
        <v>127900</v>
      </c>
      <c r="Z57" s="22">
        <f t="shared" si="3"/>
        <v>152900</v>
      </c>
      <c r="AA57" s="22">
        <f t="shared" si="3"/>
        <v>177100</v>
      </c>
      <c r="AB57" s="3"/>
      <c r="AC57" s="3"/>
    </row>
    <row r="58" spans="25:29" x14ac:dyDescent="0.25">
      <c r="Y58" s="22">
        <f t="shared" si="3"/>
        <v>131700</v>
      </c>
      <c r="Z58" s="22">
        <f t="shared" si="3"/>
        <v>157500</v>
      </c>
      <c r="AA58" s="22">
        <f t="shared" si="3"/>
        <v>182400</v>
      </c>
      <c r="AB58" s="3"/>
      <c r="AC58" s="3"/>
    </row>
    <row r="59" spans="25:29" x14ac:dyDescent="0.25">
      <c r="Y59" s="22">
        <f t="shared" si="3"/>
        <v>135700</v>
      </c>
      <c r="Z59" s="22">
        <f t="shared" si="3"/>
        <v>162200</v>
      </c>
      <c r="AA59" s="22">
        <f t="shared" si="3"/>
        <v>187900</v>
      </c>
      <c r="AB59" s="3"/>
      <c r="AC59" s="3"/>
    </row>
    <row r="60" spans="25:29" x14ac:dyDescent="0.25">
      <c r="Y60" s="22">
        <f t="shared" si="3"/>
        <v>139800</v>
      </c>
      <c r="Z60" s="22">
        <f t="shared" si="3"/>
        <v>167100</v>
      </c>
      <c r="AA60" s="22">
        <f t="shared" si="3"/>
        <v>193500</v>
      </c>
      <c r="AB60" s="3"/>
      <c r="AC60" s="3"/>
    </row>
    <row r="61" spans="25:29" x14ac:dyDescent="0.25">
      <c r="Y61" s="22">
        <f t="shared" si="3"/>
        <v>144000</v>
      </c>
      <c r="Z61" s="22">
        <f t="shared" si="3"/>
        <v>172100</v>
      </c>
      <c r="AA61" s="22">
        <f t="shared" si="3"/>
        <v>199300</v>
      </c>
      <c r="AB61" s="3"/>
      <c r="AC61" s="3"/>
    </row>
    <row r="62" spans="25:29" x14ac:dyDescent="0.25">
      <c r="Y62" s="22">
        <f t="shared" si="3"/>
        <v>148300</v>
      </c>
      <c r="Z62" s="22">
        <f t="shared" si="3"/>
        <v>177300</v>
      </c>
      <c r="AA62" s="22">
        <f t="shared" si="3"/>
        <v>205300</v>
      </c>
      <c r="AB62" s="3"/>
      <c r="AC62" s="3"/>
    </row>
    <row r="63" spans="25:29" x14ac:dyDescent="0.25">
      <c r="Y63" s="22">
        <f t="shared" si="3"/>
        <v>152700</v>
      </c>
      <c r="Z63" s="22">
        <f t="shared" si="3"/>
        <v>182600</v>
      </c>
      <c r="AA63" s="22">
        <f t="shared" si="3"/>
        <v>211500</v>
      </c>
      <c r="AB63" s="3"/>
      <c r="AC63" s="3"/>
    </row>
    <row r="64" spans="25:29" x14ac:dyDescent="0.25">
      <c r="Y64" s="22">
        <f t="shared" si="3"/>
        <v>157300</v>
      </c>
      <c r="Z64" s="22">
        <f t="shared" si="3"/>
        <v>188100</v>
      </c>
      <c r="AA64" s="3"/>
      <c r="AB64" s="3"/>
      <c r="AC64" s="3"/>
    </row>
    <row r="65" spans="25:29" x14ac:dyDescent="0.25">
      <c r="Y65" s="22">
        <f t="shared" ref="Y65:Z69" si="4">MROUND(Y64*1.03,100)</f>
        <v>162000</v>
      </c>
      <c r="Z65" s="22">
        <f t="shared" si="4"/>
        <v>193700</v>
      </c>
      <c r="AA65" s="3"/>
      <c r="AB65" s="3"/>
      <c r="AC65" s="3"/>
    </row>
    <row r="66" spans="25:29" x14ac:dyDescent="0.25">
      <c r="Y66" s="22">
        <f t="shared" si="4"/>
        <v>166900</v>
      </c>
      <c r="Z66" s="22">
        <f t="shared" si="4"/>
        <v>199500</v>
      </c>
      <c r="AA66" s="3"/>
      <c r="AB66" s="3"/>
      <c r="AC66" s="3"/>
    </row>
    <row r="67" spans="25:29" x14ac:dyDescent="0.25">
      <c r="Y67" s="22">
        <f t="shared" si="4"/>
        <v>171900</v>
      </c>
      <c r="Z67" s="22">
        <f t="shared" si="4"/>
        <v>205500</v>
      </c>
      <c r="AA67" s="3"/>
      <c r="AB67" s="3"/>
      <c r="AC67" s="3"/>
    </row>
    <row r="68" spans="25:29" x14ac:dyDescent="0.25">
      <c r="Y68" s="22">
        <f t="shared" si="4"/>
        <v>177100</v>
      </c>
      <c r="Z68" s="3"/>
      <c r="AA68" s="3"/>
      <c r="AB68" s="3"/>
      <c r="AC68" s="3"/>
    </row>
    <row r="69" spans="25:29" x14ac:dyDescent="0.25">
      <c r="Y69" s="22">
        <f t="shared" si="4"/>
        <v>182400</v>
      </c>
      <c r="Z69" s="3"/>
      <c r="AA69" s="3"/>
      <c r="AB69" s="3"/>
      <c r="AC69" s="3"/>
    </row>
    <row r="70" spans="25:29" x14ac:dyDescent="0.25">
      <c r="Y70" s="23"/>
    </row>
  </sheetData>
  <sheetProtection algorithmName="SHA-512" hashValue="/kkhfvB009LN6cVM3ppSpgHdbWVHthEm6e4VcQ+SNZe3J8ysiiqP/G64vNUcYXPcW3ZhsoQu4nLvB0XQCQMhiw==" saltValue="//m32h8d0bQwK3B7/exqlQ==" spinCount="100000" sheet="1" selectLockedCells="1"/>
  <mergeCells count="38">
    <mergeCell ref="AD2:AH3"/>
    <mergeCell ref="B27:I27"/>
    <mergeCell ref="K3:V3"/>
    <mergeCell ref="K5:V5"/>
    <mergeCell ref="B13:I13"/>
    <mergeCell ref="B15:I15"/>
    <mergeCell ref="B3:I3"/>
    <mergeCell ref="B5:I5"/>
    <mergeCell ref="B7:I7"/>
    <mergeCell ref="B9:I9"/>
    <mergeCell ref="B11:I11"/>
    <mergeCell ref="B25:I25"/>
    <mergeCell ref="K13:Q13"/>
    <mergeCell ref="X10:AC12"/>
    <mergeCell ref="K7:Q7"/>
    <mergeCell ref="N11:O11"/>
    <mergeCell ref="B21:I21"/>
    <mergeCell ref="B19:I19"/>
    <mergeCell ref="K19:Q19"/>
    <mergeCell ref="B17:I17"/>
    <mergeCell ref="K17:Q17"/>
    <mergeCell ref="K21:V21"/>
    <mergeCell ref="AD4:AH12"/>
    <mergeCell ref="AE14:AH23"/>
    <mergeCell ref="AE13:AH13"/>
    <mergeCell ref="K27:L27"/>
    <mergeCell ref="N27:O27"/>
    <mergeCell ref="Q27:R27"/>
    <mergeCell ref="K25:Q25"/>
    <mergeCell ref="K15:L15"/>
    <mergeCell ref="N15:O15"/>
    <mergeCell ref="Q15:R15"/>
    <mergeCell ref="X14:AD16"/>
    <mergeCell ref="X13:AC13"/>
    <mergeCell ref="Q11:R11"/>
    <mergeCell ref="K11:L11"/>
    <mergeCell ref="X9:AC9"/>
    <mergeCell ref="K9:R9"/>
  </mergeCells>
  <dataValidations count="9">
    <dataValidation type="list" allowBlank="1" showInputMessage="1" showErrorMessage="1" prompt="Day" sqref="K11:L11 K27:L27" xr:uid="{7BB380B1-FE1B-45F0-884B-226D566D7FF7}">
      <formula1>"1,2,3,4,5,6,7,8,9,10,11,12,13,14,15,16,17,18,19,20,21,22,23,24,25,26,27,28,29,30,31"</formula1>
    </dataValidation>
    <dataValidation type="list" allowBlank="1" showInputMessage="1" showErrorMessage="1" prompt="Month" sqref="N11 N27" xr:uid="{788196E9-355B-4A40-B2AC-736DFF54DF0B}">
      <formula1>"1,2,3,4,5,6,7,8,9,10,11,12"</formula1>
    </dataValidation>
    <dataValidation type="list" allowBlank="1" showInputMessage="1" showErrorMessage="1" prompt="Year" sqref="O11 O27" xr:uid="{04D046ED-2E98-4A11-B45A-FA8725422C2B}">
      <formula1>"2016,2017,2018,2019"</formula1>
    </dataValidation>
    <dataValidation type="list" allowBlank="1" showInputMessage="1" showErrorMessage="1" sqref="K9:R9" xr:uid="{A4378F2B-32EB-459A-BA25-2B4D07D26D90}">
      <formula1>"Assistant Professor - Academic Level 10, Assistant Professor - Academic Level 11, Assistant Professor - Academic Level 12, Associate Professor - Academic Level 13A, Professor - Academic Level 14"</formula1>
    </dataValidation>
    <dataValidation type="whole" operator="greaterThan" allowBlank="1" showInputMessage="1" showErrorMessage="1" sqref="K7:Q7 K17:Q17 K19:Q19" xr:uid="{5B3EF786-6D46-41B7-9D47-4D36742645E9}">
      <formula1>0</formula1>
    </dataValidation>
    <dataValidation type="whole" allowBlank="1" showInputMessage="1" showErrorMessage="1" errorTitle="Basic Pay" error="Please enter a valid basic pay." sqref="K13:Q13" xr:uid="{77211AE9-842C-4C4D-960E-E30B0E040BD1}">
      <formula1>57700</formula1>
      <formula2>224100</formula2>
    </dataValidation>
    <dataValidation type="list" allowBlank="1" showInputMessage="1" showErrorMessage="1" prompt="Year" sqref="Q11:R11 Q15:R15 Q27:R27" xr:uid="{3BC73BF5-C75D-455C-8E92-73F70F6FAF9B}">
      <formula1>"2016,2017,2018,2019,2020,2021,2022,2023,2024,2025,2026,2027,2028,2029,2030"</formula1>
    </dataValidation>
    <dataValidation type="list" allowBlank="1" showInputMessage="1" showErrorMessage="1" prompt="Day" sqref="K15:L15" xr:uid="{11938D8C-D771-4AE0-BF55-515BE4E2AF3D}">
      <formula1>"1"</formula1>
    </dataValidation>
    <dataValidation type="list" allowBlank="1" showInputMessage="1" showErrorMessage="1" sqref="N15:O15" xr:uid="{67EE9CBD-766A-457B-BB8E-C0C36E9E6B72}">
      <formula1>"1,7"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Q99"/>
  <sheetViews>
    <sheetView showGridLines="0" showRowColHeaders="0" workbookViewId="0">
      <selection activeCell="BC2" sqref="BC2"/>
    </sheetView>
  </sheetViews>
  <sheetFormatPr defaultRowHeight="15" x14ac:dyDescent="0.25"/>
  <cols>
    <col min="1" max="61" width="1.7109375" style="9" customWidth="1"/>
    <col min="62" max="16384" width="9.140625" style="9"/>
  </cols>
  <sheetData>
    <row r="1" spans="2:69" ht="9.9499999999999993" customHeight="1" x14ac:dyDescent="0.25"/>
    <row r="2" spans="2:69" ht="15" customHeight="1" x14ac:dyDescent="0.25">
      <c r="F2" s="103" t="s">
        <v>2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4"/>
      <c r="AS2" s="104"/>
      <c r="BM2" s="79" t="s">
        <v>62</v>
      </c>
      <c r="BN2" s="95"/>
      <c r="BO2" s="95"/>
      <c r="BP2" s="95"/>
      <c r="BQ2" s="95"/>
    </row>
    <row r="3" spans="2:69" ht="4.5" customHeight="1" x14ac:dyDescent="0.25">
      <c r="BM3" s="95"/>
      <c r="BN3" s="95"/>
      <c r="BO3" s="95"/>
      <c r="BP3" s="95"/>
      <c r="BQ3" s="95"/>
    </row>
    <row r="4" spans="2:69" ht="32.25" customHeight="1" x14ac:dyDescent="0.25">
      <c r="B4" s="100" t="s">
        <v>72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BM4" s="105" t="s">
        <v>78</v>
      </c>
      <c r="BN4" s="106"/>
      <c r="BO4" s="106"/>
      <c r="BP4" s="106"/>
      <c r="BQ4" s="106"/>
    </row>
    <row r="5" spans="2:69" ht="4.5" customHeight="1" x14ac:dyDescent="0.25">
      <c r="BM5" s="106"/>
      <c r="BN5" s="106"/>
      <c r="BO5" s="106"/>
      <c r="BP5" s="106"/>
      <c r="BQ5" s="106"/>
    </row>
    <row r="6" spans="2:69" ht="5.25" customHeight="1" x14ac:dyDescent="0.25">
      <c r="BM6" s="106"/>
      <c r="BN6" s="106"/>
      <c r="BO6" s="106"/>
      <c r="BP6" s="106"/>
      <c r="BQ6" s="106"/>
    </row>
    <row r="7" spans="2:69" x14ac:dyDescent="0.25">
      <c r="C7" s="93" t="s">
        <v>4</v>
      </c>
      <c r="D7" s="93"/>
      <c r="E7" s="93"/>
      <c r="F7" s="101" t="str">
        <f>IF(AND(ISTEXT('Basic Information'!K5),AZ7=0,AY7&gt;0,'Basic Information'!W13=TRUE),PROPER('Basic Information'!K5),"")</f>
        <v/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93" t="s">
        <v>5</v>
      </c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10"/>
      <c r="AY7" s="12">
        <f>IF(AND(ISNUMBER('Basic Information'!K11),ISNUMBER('Basic Information'!N11),ISNUMBER('Basic Information'!Q11)),DATE('Basic Information'!Q11,'Basic Information'!N11,'Basic Information'!K11),0)</f>
        <v>0</v>
      </c>
      <c r="AZ7" s="12">
        <f>IF(AND(ISNUMBER('Basic Information'!K15),ISNUMBER('Basic Information'!N15),ISNUMBER('Basic Information'!Q15)),DATE('Basic Information'!Q15,'Basic Information'!N15,'Basic Information'!K15),0)</f>
        <v>0</v>
      </c>
      <c r="BM7" s="97"/>
      <c r="BN7" s="97"/>
      <c r="BO7" s="97"/>
      <c r="BP7" s="97"/>
      <c r="BQ7" s="97"/>
    </row>
    <row r="8" spans="2:69" ht="3" customHeight="1" x14ac:dyDescent="0.25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BM8" s="97"/>
      <c r="BN8" s="97"/>
      <c r="BO8" s="97"/>
      <c r="BP8" s="97"/>
      <c r="BQ8" s="97"/>
    </row>
    <row r="9" spans="2:69" x14ac:dyDescent="0.25">
      <c r="C9" s="10"/>
      <c r="D9" s="10"/>
      <c r="E9" s="93" t="s">
        <v>69</v>
      </c>
      <c r="F9" s="95"/>
      <c r="G9" s="95"/>
      <c r="H9" s="92" t="str">
        <f>IF(AND(AY7&gt;0,AZ7=0,ISTEXT('Basic Information'!K5),'Basic Information'!W13=TRUE),CONCATENATE(DAY(AY7),IF(OR(DAY(AY7)=1,DAY(AY7)=21,DAY(AY7)=31),"st",IF(OR(DAY(AY7)=2,DAY(AY7)=22),"nd",IF(OR(DAY(AY7)=3,DAY(AY7)=23),"rd","th"))),"  ",TEXT(AY7,"mmmm"),",  ",YEAR(AY7),".  "),"")</f>
        <v/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3"/>
      <c r="BM9" s="97"/>
      <c r="BN9" s="97"/>
      <c r="BO9" s="97"/>
      <c r="BP9" s="97"/>
      <c r="BQ9" s="97"/>
    </row>
    <row r="10" spans="2:69" ht="8.1" customHeight="1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BM10" s="96" t="s">
        <v>60</v>
      </c>
      <c r="BN10" s="97"/>
      <c r="BO10" s="97"/>
      <c r="BP10" s="97"/>
      <c r="BQ10" s="97"/>
    </row>
    <row r="11" spans="2:69" x14ac:dyDescent="0.25">
      <c r="C11" s="93" t="s">
        <v>6</v>
      </c>
      <c r="D11" s="93"/>
      <c r="E11" s="93"/>
      <c r="F11" s="101" t="str">
        <f>IF(AND(ISTEXT('Basic Information'!K5),AZ7&gt;0,AY7&gt;0,'Basic Information'!W15=TRUE),PROPER('Basic Information'!K5),"")</f>
        <v/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93" t="s">
        <v>7</v>
      </c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10"/>
      <c r="AY11" s="13"/>
      <c r="BM11" s="97"/>
      <c r="BN11" s="97"/>
      <c r="BO11" s="97"/>
      <c r="BP11" s="97"/>
      <c r="BQ11" s="97"/>
    </row>
    <row r="12" spans="2:69" ht="3" customHeight="1" x14ac:dyDescent="0.2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BM12" s="97"/>
      <c r="BN12" s="97"/>
      <c r="BO12" s="97"/>
      <c r="BP12" s="97"/>
      <c r="BQ12" s="97"/>
    </row>
    <row r="13" spans="2:69" x14ac:dyDescent="0.25">
      <c r="C13" s="10"/>
      <c r="D13" s="10"/>
      <c r="E13" s="93" t="s">
        <v>8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101" t="str">
        <f>IF(AND(AY7&gt;0,AZ7&gt;0,'Basic Information'!W15=TRUE),CONCATENATE(DAY(AZ7),IF(OR(DAY(AZ7)=1,DAY(AZ7)=21,DAY(AZ7)=31),"st",IF(OR(DAY(AZ7)=2,DAY(AZ7)=22),"nd",IF(OR(DAY(AZ7)=3,DAY(AZ7)=23),"rd","th"))),"  ",TEXT(AZ7,"mmmm"),",  ",YEAR(AZ7),".  "),"")</f>
        <v/>
      </c>
      <c r="AK13" s="101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"/>
      <c r="AY13" s="13"/>
      <c r="AZ13" s="13"/>
      <c r="BA13" s="13"/>
      <c r="BM13" s="97"/>
      <c r="BN13" s="97"/>
      <c r="BO13" s="97"/>
      <c r="BP13" s="97"/>
      <c r="BQ13" s="97"/>
    </row>
    <row r="14" spans="2:69" ht="5.0999999999999996" customHeight="1" x14ac:dyDescent="0.2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BM14" s="98" t="s">
        <v>90</v>
      </c>
      <c r="BN14" s="99"/>
      <c r="BO14" s="99"/>
      <c r="BP14" s="99"/>
      <c r="BQ14" s="99"/>
    </row>
    <row r="15" spans="2:69" x14ac:dyDescent="0.25">
      <c r="C15" s="10"/>
      <c r="D15" s="10"/>
      <c r="E15" s="93" t="s">
        <v>12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2" t="str">
        <f>IF(AND(ISTEXT(F11),ISTEXT(AJ13),AZ7&gt;AY7,ISNUMBER('Fixation With Option'!AC23)),MROUND('Fixation With Option'!AC23*1.03,100),"")</f>
        <v/>
      </c>
      <c r="AG15" s="92"/>
      <c r="AH15" s="92"/>
      <c r="AI15" s="92"/>
      <c r="AJ15" s="92"/>
      <c r="AK15" s="92"/>
      <c r="AL15" s="92"/>
      <c r="AM15" s="92"/>
      <c r="AN15" s="92"/>
      <c r="AO15" s="92"/>
      <c r="AP15" s="10"/>
      <c r="AQ15" s="10"/>
      <c r="AR15" s="10"/>
      <c r="AS15" s="10"/>
      <c r="AT15" s="10"/>
      <c r="AU15" s="10"/>
      <c r="AV15" s="10"/>
      <c r="AW15" s="10"/>
      <c r="AX15" s="10"/>
      <c r="AZ15" s="13"/>
      <c r="BM15" s="99"/>
      <c r="BN15" s="99"/>
      <c r="BO15" s="99"/>
      <c r="BP15" s="99"/>
      <c r="BQ15" s="99"/>
    </row>
    <row r="16" spans="2:69" ht="5.0999999999999996" customHeight="1" x14ac:dyDescent="0.2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BM16" s="99"/>
      <c r="BN16" s="99"/>
      <c r="BO16" s="99"/>
      <c r="BP16" s="99"/>
      <c r="BQ16" s="99"/>
    </row>
    <row r="17" spans="3:69" x14ac:dyDescent="0.25">
      <c r="C17" s="10"/>
      <c r="D17" s="10"/>
      <c r="E17" s="93" t="s">
        <v>58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3" t="s">
        <v>59</v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10"/>
      <c r="AW17" s="10"/>
      <c r="AX17" s="10"/>
      <c r="BM17" s="99"/>
      <c r="BN17" s="99"/>
      <c r="BO17" s="99"/>
      <c r="BP17" s="99"/>
      <c r="BQ17" s="99"/>
    </row>
    <row r="18" spans="3:69" ht="5.0999999999999996" customHeight="1" x14ac:dyDescent="0.2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3:69" ht="15" customHeight="1" x14ac:dyDescent="0.25">
      <c r="C19" s="10"/>
      <c r="D19" s="10"/>
      <c r="E19" s="91" t="s">
        <v>71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10"/>
      <c r="AT19" s="10"/>
      <c r="AU19" s="10"/>
      <c r="AV19" s="10"/>
      <c r="AW19" s="10"/>
      <c r="AX19" s="10"/>
    </row>
    <row r="20" spans="3:69" ht="8.1" customHeight="1" x14ac:dyDescent="0.2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3:69" ht="15" customHeight="1" x14ac:dyDescent="0.25">
      <c r="C21" s="20"/>
      <c r="D21" s="20"/>
      <c r="E21" s="91" t="s">
        <v>70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20"/>
      <c r="AT21" s="20"/>
      <c r="AU21" s="20"/>
      <c r="AV21" s="20"/>
      <c r="AW21" s="20"/>
      <c r="AX21" s="20"/>
    </row>
    <row r="22" spans="3:69" ht="8.1" customHeight="1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3:69" x14ac:dyDescent="0.25">
      <c r="C23" s="108" t="s">
        <v>99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93" t="s">
        <v>9</v>
      </c>
      <c r="V23" s="93"/>
      <c r="W23" s="101" t="str">
        <f>IF(AND(OR(ISTEXT(F7),ISTEXT(F11)),ISNUMBER('Basic Information'!K13),OR('Basic Information'!W13=TRUE,'Basic Information'!W15=TRUE)),'Basic Information'!K13,"")</f>
        <v/>
      </c>
      <c r="X23" s="101"/>
      <c r="Y23" s="101"/>
      <c r="Z23" s="101"/>
      <c r="AA23" s="101"/>
      <c r="AB23" s="101"/>
      <c r="AC23" s="101"/>
      <c r="AD23" s="101"/>
      <c r="AE23" s="93"/>
      <c r="AF23" s="93"/>
      <c r="AG23" s="93"/>
      <c r="AH23" s="107"/>
      <c r="AI23" s="93"/>
      <c r="AJ23" s="107"/>
      <c r="AK23" s="107"/>
      <c r="AL23" s="107"/>
      <c r="AM23" s="107"/>
      <c r="AN23" s="93"/>
      <c r="AO23" s="93"/>
      <c r="AP23" s="93"/>
      <c r="AQ23" s="93"/>
      <c r="AR23" s="93"/>
      <c r="AS23" s="10"/>
      <c r="AT23" s="10"/>
      <c r="AU23" s="10"/>
      <c r="AV23" s="10"/>
      <c r="AW23" s="10"/>
      <c r="AX23" s="10"/>
      <c r="AY23" s="13"/>
      <c r="BO23" s="12" t="str">
        <f>IF(ISNUMBER(AJ23),VALUE(TRIM(AJ23)),"")</f>
        <v/>
      </c>
      <c r="BP23" s="12" t="str">
        <f>IF(ISBLANK(W23),"",W23)</f>
        <v/>
      </c>
    </row>
    <row r="24" spans="3:69" ht="8.1" customHeight="1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3:69" ht="8.1" customHeight="1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3:69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93" t="s">
        <v>93</v>
      </c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3:69" ht="8.1" customHeight="1" x14ac:dyDescent="0.25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3:69" x14ac:dyDescent="0.2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93" t="s">
        <v>94</v>
      </c>
      <c r="N28" s="93"/>
      <c r="O28" s="93"/>
      <c r="P28" s="93"/>
      <c r="Q28" s="93"/>
      <c r="R28" s="109" t="str">
        <f>IF(AND(ISTEXT('Basic Information'!K5),ISNUMBER('Basic Information'!K7),OR('Basic Information'!W13=TRUE,'Basic Information'!W15=TRUE)),PROPER('Basic Information'!K5)&amp;" ("&amp;'Basic Information'!K7&amp;")",IF(AND(ISTEXT('Basic Information'!K5),OR('Basic Information'!W13=TRUE,'Basic Information'!W15=TRUE)),PROPER('Basic Information'!K5),""))</f>
        <v/>
      </c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3:69" ht="8.1" customHeight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3:69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93" t="s">
        <v>95</v>
      </c>
      <c r="N30" s="93"/>
      <c r="O30" s="93"/>
      <c r="P30" s="93"/>
      <c r="Q30" s="93"/>
      <c r="R30" s="93"/>
      <c r="S30" s="93"/>
      <c r="T30" s="109" t="str">
        <f>IF(AND(OR(ISTEXT(F7),ISTEXT(F11)),ISTEXT('Basic Information'!K9),OR('Basic Information'!W13=TRUE,'Basic Information'!W15=TRUE)),'Basic Information'!K9,"")</f>
        <v/>
      </c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2"/>
      <c r="AK30" s="102"/>
      <c r="AL30" s="102"/>
      <c r="AM30" s="102"/>
      <c r="AN30" s="102"/>
      <c r="AO30" s="102"/>
      <c r="AP30" s="102"/>
      <c r="AQ30" s="102"/>
      <c r="AR30" s="10"/>
      <c r="AS30" s="10"/>
      <c r="AT30" s="10"/>
      <c r="AU30" s="10"/>
      <c r="AV30" s="10"/>
      <c r="AW30" s="10"/>
      <c r="AX30" s="10"/>
      <c r="AY30" s="13"/>
      <c r="BO30" s="12" t="str">
        <f>IF(ISBLANK(T30),"",T30)</f>
        <v/>
      </c>
    </row>
    <row r="31" spans="3:69" ht="8.1" customHeigh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3:69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93" t="s">
        <v>96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 t="str">
        <f>IF(AND(OR(ISTEXT(F7),ISTEXT(F11)),ISTEXT('Basic Information'!K3),OR('Basic Information'!W13=TRUE,'Basic Information'!W15=TRUE)),PROPER('Basic Information'!K3),"")</f>
        <v/>
      </c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02"/>
      <c r="AY32" s="102"/>
    </row>
    <row r="33" spans="2:51" ht="8.1" customHeigh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2:51" x14ac:dyDescent="0.25">
      <c r="C34" s="93" t="s">
        <v>97</v>
      </c>
      <c r="D34" s="93"/>
      <c r="E34" s="93"/>
      <c r="F34" s="93"/>
      <c r="G34" s="93"/>
      <c r="H34" s="109" t="str">
        <f>IF(AND(OR(ISTEXT(F7),ISTEXT(F11)),ISTEXT('Basic Information'!K25)),PROPER('Basic Information'!K25),"")</f>
        <v/>
      </c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3"/>
    </row>
    <row r="35" spans="2:51" ht="8.1" customHeight="1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2:51" x14ac:dyDescent="0.25">
      <c r="C36" s="93" t="s">
        <v>98</v>
      </c>
      <c r="D36" s="93"/>
      <c r="E36" s="93"/>
      <c r="F36" s="93"/>
      <c r="G36" s="93"/>
      <c r="H36" s="109" t="str">
        <f>IF(AND(ISNUMBER('Basic Information'!K27),ISNUMBER('Basic Information'!N27),ISNUMBER('Basic Information'!Q27)),'Basic Information'!K27 &amp;"/"&amp; 'Basic Information'!N27 &amp;"/"&amp;'Basic Information'!Q27,"")</f>
        <v/>
      </c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3"/>
    </row>
    <row r="37" spans="2:51" x14ac:dyDescent="0.25">
      <c r="C37" s="93" t="s">
        <v>11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2:51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2:51" x14ac:dyDescent="0.25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</row>
    <row r="40" spans="2:51" ht="21" customHeight="1" x14ac:dyDescent="0.2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2:51" ht="8.25" customHeight="1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2:51" ht="15" customHeight="1" x14ac:dyDescent="0.25">
      <c r="C42" s="103" t="s">
        <v>10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</row>
    <row r="43" spans="2:51" ht="8.1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2:51" x14ac:dyDescent="0.25">
      <c r="B44" s="104" t="s">
        <v>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</row>
    <row r="45" spans="2:51" ht="12" customHeight="1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2:51" x14ac:dyDescent="0.25">
      <c r="C46" s="10"/>
      <c r="D46" s="111" t="s">
        <v>18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0"/>
    </row>
    <row r="47" spans="2:51" ht="3" customHeight="1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2:51" x14ac:dyDescent="0.25">
      <c r="C48" s="111" t="s">
        <v>101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0"/>
    </row>
    <row r="49" spans="3:51" ht="3" customHeight="1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3:51" x14ac:dyDescent="0.25">
      <c r="C50" s="111" t="s">
        <v>20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0"/>
    </row>
    <row r="51" spans="3:51" ht="3" customHeight="1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3:51" x14ac:dyDescent="0.25">
      <c r="C52" s="93" t="s">
        <v>19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10"/>
    </row>
    <row r="53" spans="3:51" ht="8.1" customHeight="1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3:51" x14ac:dyDescent="0.2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93" t="s">
        <v>93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3:51" ht="8.1" customHeight="1" x14ac:dyDescent="0.2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3:51" x14ac:dyDescent="0.2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93" t="s">
        <v>94</v>
      </c>
      <c r="N56" s="93"/>
      <c r="O56" s="93"/>
      <c r="P56" s="93"/>
      <c r="Q56" s="93"/>
      <c r="R56" s="93" t="str">
        <f>PROPER(R28)</f>
        <v/>
      </c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3:51" ht="8.1" customHeight="1" x14ac:dyDescent="0.2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3:51" x14ac:dyDescent="0.2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93" t="s">
        <v>95</v>
      </c>
      <c r="N58" s="93"/>
      <c r="O58" s="93"/>
      <c r="P58" s="93"/>
      <c r="Q58" s="93"/>
      <c r="R58" s="93"/>
      <c r="S58" s="93"/>
      <c r="T58" s="93" t="str">
        <f t="shared" ref="T58" si="0">PROPER(T30)</f>
        <v/>
      </c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5"/>
      <c r="AK58" s="95"/>
      <c r="AL58" s="95"/>
      <c r="AM58" s="95"/>
      <c r="AN58" s="95"/>
      <c r="AO58" s="95"/>
      <c r="AP58" s="95"/>
      <c r="AQ58" s="95"/>
      <c r="AR58" s="10"/>
      <c r="AS58" s="10"/>
      <c r="AT58" s="10"/>
      <c r="AU58" s="10"/>
      <c r="AV58" s="10"/>
      <c r="AW58" s="10"/>
      <c r="AX58" s="10"/>
    </row>
    <row r="59" spans="3:51" ht="8.1" customHeight="1" x14ac:dyDescent="0.2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3:51" x14ac:dyDescent="0.2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93" t="s">
        <v>96</v>
      </c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 t="str">
        <f>PROPER(AA32)</f>
        <v/>
      </c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5"/>
      <c r="AY60" s="95"/>
    </row>
    <row r="61" spans="3:51" ht="8.1" customHeight="1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3:51" x14ac:dyDescent="0.25">
      <c r="C62" s="93" t="s">
        <v>97</v>
      </c>
      <c r="D62" s="93"/>
      <c r="E62" s="93"/>
      <c r="F62" s="93"/>
      <c r="G62" s="93"/>
      <c r="H62" s="93" t="str">
        <f>PROPER(H34)</f>
        <v/>
      </c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3:51" ht="8.1" customHeight="1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3:51" x14ac:dyDescent="0.25">
      <c r="C64" s="93" t="s">
        <v>98</v>
      </c>
      <c r="D64" s="93"/>
      <c r="E64" s="93"/>
      <c r="F64" s="93"/>
      <c r="G64" s="93"/>
      <c r="H64" s="93" t="str">
        <f>PROPER(H36)</f>
        <v/>
      </c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3:50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3:50" ht="30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3:50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3:50" x14ac:dyDescent="0.25">
      <c r="C68" s="103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</row>
    <row r="69" spans="3:50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3:50" x14ac:dyDescent="0.25"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12"/>
      <c r="AX70" s="112"/>
    </row>
    <row r="71" spans="3:50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3:50" x14ac:dyDescent="0.25">
      <c r="C72" s="10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10"/>
    </row>
    <row r="73" spans="3:50" ht="3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3:50" x14ac:dyDescent="0.25"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10"/>
    </row>
    <row r="75" spans="3:50" ht="3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3:50" x14ac:dyDescent="0.25"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10"/>
    </row>
    <row r="77" spans="3:50" ht="3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3:50" x14ac:dyDescent="0.25"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10"/>
    </row>
    <row r="79" spans="3:50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3:50" x14ac:dyDescent="0.25"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3:50" ht="3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3:50" x14ac:dyDescent="0.25"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10"/>
      <c r="W82" s="10"/>
      <c r="X82" s="10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10"/>
      <c r="AS82" s="10"/>
      <c r="AT82" s="10"/>
      <c r="AU82" s="10"/>
      <c r="AV82" s="10"/>
      <c r="AW82" s="10"/>
      <c r="AX82" s="10"/>
    </row>
    <row r="83" spans="3:50" ht="3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3:50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</row>
    <row r="85" spans="3:50" ht="3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3:50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10"/>
      <c r="AW86" s="10"/>
      <c r="AX86" s="10"/>
    </row>
    <row r="87" spans="3:50" ht="3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3:50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</row>
    <row r="89" spans="3:50" ht="3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3:50" x14ac:dyDescent="0.25"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10"/>
    </row>
    <row r="91" spans="3:50" ht="3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3:50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3:50" ht="24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3:50" x14ac:dyDescent="0.2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</row>
    <row r="95" spans="3:50" ht="3" customHeight="1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3:50" x14ac:dyDescent="0.2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10"/>
      <c r="AW96" s="10"/>
      <c r="AX96" s="10"/>
    </row>
    <row r="97" spans="3:50" ht="3" customHeight="1" x14ac:dyDescent="0.2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3:50" x14ac:dyDescent="0.2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</row>
    <row r="99" spans="3:50" x14ac:dyDescent="0.2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</sheetData>
  <sheetProtection algorithmName="SHA-512" hashValue="LW/GcoiRKvxmV548k+dNBKoXAMdR2QufHnd6ZOH6mJj6iCTLecYx4Hccr0oWtW06ZZ8cTAu2Yr4zfkVQtfOBQA==" saltValue="ZdsWh/Hr3vxJO67xr5+9+Q==" spinCount="100000" sheet="1" selectLockedCells="1"/>
  <mergeCells count="86">
    <mergeCell ref="Y7:AW7"/>
    <mergeCell ref="E21:AR21"/>
    <mergeCell ref="Y96:AE96"/>
    <mergeCell ref="AF96:AU96"/>
    <mergeCell ref="Y82:AD82"/>
    <mergeCell ref="AE82:AQ82"/>
    <mergeCell ref="D72:AW72"/>
    <mergeCell ref="C74:AW74"/>
    <mergeCell ref="C76:AW76"/>
    <mergeCell ref="AA32:AY32"/>
    <mergeCell ref="AA60:AY60"/>
    <mergeCell ref="T58:AQ58"/>
    <mergeCell ref="B44:AY44"/>
    <mergeCell ref="H82:U82"/>
    <mergeCell ref="C78:AW78"/>
    <mergeCell ref="C80:G80"/>
    <mergeCell ref="H80:U80"/>
    <mergeCell ref="C82:G82"/>
    <mergeCell ref="R56:AL56"/>
    <mergeCell ref="D46:AW46"/>
    <mergeCell ref="C48:AW48"/>
    <mergeCell ref="C50:AW50"/>
    <mergeCell ref="M54:R54"/>
    <mergeCell ref="S54:AE54"/>
    <mergeCell ref="C68:AX68"/>
    <mergeCell ref="C70:AX70"/>
    <mergeCell ref="C64:G64"/>
    <mergeCell ref="H64:U64"/>
    <mergeCell ref="C42:AX42"/>
    <mergeCell ref="C62:G62"/>
    <mergeCell ref="H62:U62"/>
    <mergeCell ref="AE23:AG23"/>
    <mergeCell ref="M26:R26"/>
    <mergeCell ref="T30:AQ30"/>
    <mergeCell ref="M58:S58"/>
    <mergeCell ref="M60:Z60"/>
    <mergeCell ref="C52:AW52"/>
    <mergeCell ref="M56:Q56"/>
    <mergeCell ref="C37:U37"/>
    <mergeCell ref="AJ23:AM23"/>
    <mergeCell ref="AN23:AR23"/>
    <mergeCell ref="C34:G34"/>
    <mergeCell ref="C36:G36"/>
    <mergeCell ref="H34:U34"/>
    <mergeCell ref="Y98:AC98"/>
    <mergeCell ref="AD98:AX98"/>
    <mergeCell ref="AD84:AX84"/>
    <mergeCell ref="Y84:AC84"/>
    <mergeCell ref="Y94:AC94"/>
    <mergeCell ref="AD94:AX94"/>
    <mergeCell ref="C90:AW90"/>
    <mergeCell ref="Y86:AE86"/>
    <mergeCell ref="AF86:AU86"/>
    <mergeCell ref="Y88:AC88"/>
    <mergeCell ref="AD88:AX88"/>
    <mergeCell ref="H36:U36"/>
    <mergeCell ref="W23:AD23"/>
    <mergeCell ref="U23:V23"/>
    <mergeCell ref="M30:S30"/>
    <mergeCell ref="M28:Q28"/>
    <mergeCell ref="AH23:AI23"/>
    <mergeCell ref="C23:T23"/>
    <mergeCell ref="M32:Z32"/>
    <mergeCell ref="R28:AL28"/>
    <mergeCell ref="S26:AE26"/>
    <mergeCell ref="BM2:BQ3"/>
    <mergeCell ref="BM10:BQ13"/>
    <mergeCell ref="BM14:BQ17"/>
    <mergeCell ref="B4:AY4"/>
    <mergeCell ref="E13:AI13"/>
    <mergeCell ref="E15:AE15"/>
    <mergeCell ref="AJ13:AW13"/>
    <mergeCell ref="F2:AS2"/>
    <mergeCell ref="Y11:AW11"/>
    <mergeCell ref="E9:G9"/>
    <mergeCell ref="H9:S9"/>
    <mergeCell ref="BM4:BQ9"/>
    <mergeCell ref="C11:E11"/>
    <mergeCell ref="F11:X11"/>
    <mergeCell ref="C7:E7"/>
    <mergeCell ref="F7:X7"/>
    <mergeCell ref="E19:AR19"/>
    <mergeCell ref="AF15:AO15"/>
    <mergeCell ref="AG17:AU17"/>
    <mergeCell ref="E17:R17"/>
    <mergeCell ref="S17:AF17"/>
  </mergeCells>
  <conditionalFormatting sqref="Y7:AW7">
    <cfRule type="expression" dxfId="10" priority="20">
      <formula>AND(AZ7&gt;0,AY7&gt;0)</formula>
    </cfRule>
  </conditionalFormatting>
  <conditionalFormatting sqref="C7:E7">
    <cfRule type="expression" dxfId="9" priority="19">
      <formula>AND(AZ7&gt;0,AY7&gt;0)</formula>
    </cfRule>
  </conditionalFormatting>
  <conditionalFormatting sqref="E9:G9">
    <cfRule type="expression" dxfId="8" priority="18">
      <formula>AND(AZ7&gt;0,AY7&gt;0)</formula>
    </cfRule>
  </conditionalFormatting>
  <conditionalFormatting sqref="C11:E11">
    <cfRule type="expression" dxfId="7" priority="17">
      <formula>AND(AZ7=0,AY7&gt;0)</formula>
    </cfRule>
  </conditionalFormatting>
  <conditionalFormatting sqref="Y11:AW11">
    <cfRule type="expression" dxfId="6" priority="16">
      <formula>AND(AZ7=0,AY7&gt;0)</formula>
    </cfRule>
  </conditionalFormatting>
  <conditionalFormatting sqref="E13:AI13">
    <cfRule type="expression" dxfId="5" priority="15">
      <formula>AND(AZ7=0,AY7&gt;0)</formula>
    </cfRule>
  </conditionalFormatting>
  <conditionalFormatting sqref="E15:AE15">
    <cfRule type="expression" dxfId="4" priority="12">
      <formula>AND(AZ7=0,AY7&gt;0)</formula>
    </cfRule>
  </conditionalFormatting>
  <conditionalFormatting sqref="E17:R17">
    <cfRule type="expression" dxfId="3" priority="10">
      <formula>AND(AZ7&gt;=0,AY7&gt;0)</formula>
    </cfRule>
  </conditionalFormatting>
  <conditionalFormatting sqref="S17:AF17">
    <cfRule type="expression" dxfId="2" priority="9">
      <formula>AND(AZ7&gt;=0,AY7&gt;0)</formula>
    </cfRule>
  </conditionalFormatting>
  <conditionalFormatting sqref="E21:AR21">
    <cfRule type="expression" dxfId="1" priority="2">
      <formula>AND(AZ7&gt;=0,AY7&gt;0)</formula>
    </cfRule>
  </conditionalFormatting>
  <conditionalFormatting sqref="E19:AR19">
    <cfRule type="expression" dxfId="0" priority="1">
      <formula>AND(AZ7&gt;=0,AY7&gt;0)</formula>
    </cfRule>
  </conditionalFormatting>
  <pageMargins left="0.75" right="0.5" top="0.75" bottom="0.75" header="0.5" footer="0.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F57"/>
  <sheetViews>
    <sheetView showGridLines="0" showRowColHeaders="0" topLeftCell="A7" workbookViewId="0">
      <selection activeCell="AZ1" sqref="AZ1"/>
    </sheetView>
  </sheetViews>
  <sheetFormatPr defaultRowHeight="15" x14ac:dyDescent="0.25"/>
  <cols>
    <col min="1" max="1" width="3.7109375" style="1" customWidth="1"/>
    <col min="2" max="78" width="1.7109375" style="1" customWidth="1"/>
    <col min="79" max="80" width="9.140625" style="1"/>
    <col min="81" max="81" width="10.140625" style="1" bestFit="1" customWidth="1"/>
    <col min="82" max="83" width="9.140625" style="1"/>
    <col min="84" max="84" width="4.7109375" style="1" customWidth="1"/>
    <col min="85" max="16384" width="9.140625" style="1"/>
  </cols>
  <sheetData>
    <row r="2" spans="2:84" ht="15" customHeight="1" x14ac:dyDescent="0.25">
      <c r="B2" s="120" t="s">
        <v>41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BZ2" s="119" t="s">
        <v>62</v>
      </c>
      <c r="CA2" s="97"/>
      <c r="CB2" s="97"/>
      <c r="CC2" s="97"/>
      <c r="CD2" s="97"/>
      <c r="CE2" s="97"/>
    </row>
    <row r="3" spans="2:84" ht="8.1" customHeight="1" x14ac:dyDescent="0.25">
      <c r="BZ3" s="97"/>
      <c r="CA3" s="97"/>
      <c r="CB3" s="97"/>
      <c r="CC3" s="97"/>
      <c r="CD3" s="97"/>
      <c r="CE3" s="97"/>
    </row>
    <row r="4" spans="2:84" ht="15" customHeight="1" x14ac:dyDescent="0.25">
      <c r="B4" s="132" t="s">
        <v>100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BZ4" s="105" t="s">
        <v>77</v>
      </c>
      <c r="CA4" s="97"/>
      <c r="CB4" s="97"/>
      <c r="CC4" s="97"/>
      <c r="CD4" s="97"/>
      <c r="CE4" s="97"/>
    </row>
    <row r="5" spans="2:84" ht="15" customHeight="1" x14ac:dyDescent="0.25"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BZ5" s="97"/>
      <c r="CA5" s="97"/>
      <c r="CB5" s="97"/>
      <c r="CC5" s="97"/>
      <c r="CD5" s="97"/>
      <c r="CE5" s="97"/>
    </row>
    <row r="6" spans="2:84" ht="9.9499999999999993" customHeight="1" x14ac:dyDescent="0.25">
      <c r="BZ6" s="97"/>
      <c r="CA6" s="97"/>
      <c r="CB6" s="97"/>
      <c r="CC6" s="97"/>
      <c r="CD6" s="97"/>
      <c r="CE6" s="97"/>
    </row>
    <row r="7" spans="2:84" ht="15" customHeight="1" x14ac:dyDescent="0.25">
      <c r="B7" s="113" t="s">
        <v>14</v>
      </c>
      <c r="C7" s="113"/>
      <c r="D7" s="71" t="s">
        <v>13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39" t="s">
        <v>0</v>
      </c>
      <c r="AC7" s="71" t="str">
        <f>IF(AND(ISTEXT('Basic Information'!K3),OR('Basic Information'!W13=TRUE,'Basic Information'!W15=TRUE)),PROPER('Basic Information'!K3),"")</f>
        <v/>
      </c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94"/>
      <c r="AX7" s="94"/>
      <c r="BZ7" s="97"/>
      <c r="CA7" s="97"/>
      <c r="CB7" s="97"/>
      <c r="CC7" s="97"/>
      <c r="CD7" s="97"/>
      <c r="CE7" s="97"/>
      <c r="CF7" s="26"/>
    </row>
    <row r="8" spans="2:84" ht="5.0999999999999996" customHeight="1" x14ac:dyDescent="0.25">
      <c r="BZ8" s="117" t="s">
        <v>76</v>
      </c>
      <c r="CA8" s="118"/>
      <c r="CB8" s="118"/>
      <c r="CC8" s="118"/>
      <c r="CD8" s="118"/>
      <c r="CE8" s="118"/>
      <c r="CF8" s="26"/>
    </row>
    <row r="9" spans="2:84" x14ac:dyDescent="0.25">
      <c r="B9" s="113" t="s">
        <v>16</v>
      </c>
      <c r="C9" s="113"/>
      <c r="D9" s="71" t="s">
        <v>15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39" t="s">
        <v>0</v>
      </c>
      <c r="AC9" s="71" t="str">
        <f>IF(AND(ISTEXT('Basic Information'!K5),ISNUMBER('Basic Information'!K7),OR('Basic Information'!W13=TRUE,'Basic Information'!W15=TRUE)),PROPER('Basic Information'!K5)&amp;" ("&amp;'Basic Information'!K7&amp;")",IF(AND(ISTEXT('Basic Information'!K5),OR('Basic Information'!W13=TRUE,'Basic Information'!W15=TRUE)),PROPER('Basic Information'!K5),""))</f>
        <v/>
      </c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94"/>
      <c r="AX9" s="94"/>
      <c r="BZ9" s="118"/>
      <c r="CA9" s="118"/>
      <c r="CB9" s="118"/>
      <c r="CC9" s="118"/>
      <c r="CD9" s="118"/>
      <c r="CE9" s="118"/>
      <c r="CF9" s="26"/>
    </row>
    <row r="10" spans="2:84" ht="5.0999999999999996" customHeight="1" x14ac:dyDescent="0.25">
      <c r="BZ10" s="118"/>
      <c r="CA10" s="118"/>
      <c r="CB10" s="118"/>
      <c r="CC10" s="118"/>
      <c r="CD10" s="118"/>
      <c r="CE10" s="118"/>
    </row>
    <row r="11" spans="2:84" x14ac:dyDescent="0.25">
      <c r="B11" s="113" t="s">
        <v>17</v>
      </c>
      <c r="C11" s="113"/>
      <c r="D11" s="71" t="s">
        <v>42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39" t="s">
        <v>0</v>
      </c>
      <c r="AC11" s="121" t="str">
        <f>IF(AND(ISTEXT('Basic Information'!K9),OR('Basic Information'!W13=TRUE,'Basic Information'!W15=TRUE)),PROPER('Basic Information'!K9), " ")</f>
        <v xml:space="preserve"> </v>
      </c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BZ11" s="118"/>
      <c r="CA11" s="118"/>
      <c r="CB11" s="118"/>
      <c r="CC11" s="118"/>
      <c r="CD11" s="118"/>
      <c r="CE11" s="118"/>
    </row>
    <row r="12" spans="2:84" ht="5.0999999999999996" customHeight="1" x14ac:dyDescent="0.25">
      <c r="BZ12" s="129" t="s">
        <v>91</v>
      </c>
      <c r="CA12" s="130"/>
      <c r="CB12" s="130"/>
      <c r="CC12" s="130"/>
      <c r="CD12" s="130"/>
      <c r="CE12" s="130"/>
    </row>
    <row r="13" spans="2:84" x14ac:dyDescent="0.25">
      <c r="B13" s="113" t="s">
        <v>21</v>
      </c>
      <c r="C13" s="113"/>
      <c r="D13" s="71" t="s">
        <v>43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39" t="s">
        <v>0</v>
      </c>
      <c r="AC13" s="71" t="str">
        <f>IF(ISTEXT(AC11),IF(AC11="Assistant Professor - Academic Level 10","10",IF(AC11="Assistant Professor - Academic Level 11","11",IF(AC11="Assistant Professor - Academic Level 12","12",IF(AC11="Associate Professor - Academic Level 13A","13A",IF(AC11="Professor - Academic Level 14","14",""))))),"")</f>
        <v/>
      </c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BZ13" s="130"/>
      <c r="CA13" s="130"/>
      <c r="CB13" s="130"/>
      <c r="CC13" s="130"/>
      <c r="CD13" s="130"/>
      <c r="CE13" s="130"/>
    </row>
    <row r="14" spans="2:84" ht="5.0999999999999996" customHeight="1" x14ac:dyDescent="0.25">
      <c r="BZ14" s="130"/>
      <c r="CA14" s="130"/>
      <c r="CB14" s="130"/>
      <c r="CC14" s="130"/>
      <c r="CD14" s="130"/>
      <c r="CE14" s="130"/>
    </row>
    <row r="15" spans="2:84" x14ac:dyDescent="0.25">
      <c r="B15" s="113" t="s">
        <v>22</v>
      </c>
      <c r="C15" s="113"/>
      <c r="D15" s="71" t="s">
        <v>44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39" t="s">
        <v>0</v>
      </c>
      <c r="AC15" s="134" t="str">
        <f>IF(AND(ISNUMBER('Basic Information'!K11),'Basic Information'!W13=TRUE),'Basic Information'!K11,"")</f>
        <v/>
      </c>
      <c r="AD15" s="103"/>
      <c r="AE15" s="6" t="str">
        <f>IF(AND(ISNUMBER(AC15),ISNUMBER(AF15)),"/","")</f>
        <v/>
      </c>
      <c r="AF15" s="134" t="str">
        <f>IF(AND(ISNUMBER('Basic Information'!N11),'Basic Information'!W13=TRUE),'Basic Information'!N11,"")</f>
        <v/>
      </c>
      <c r="AG15" s="103"/>
      <c r="AH15" s="6" t="str">
        <f>IF(AND(ISNUMBER(AF15),ISNUMBER(AI15)),"/","")</f>
        <v/>
      </c>
      <c r="AI15" s="115" t="str">
        <f>IF(AND(ISNUMBER('Basic Information'!Q11),'Basic Information'!W13=TRUE),'Basic Information'!Q11,"")</f>
        <v/>
      </c>
      <c r="AJ15" s="115"/>
      <c r="AK15" s="115"/>
      <c r="AL15" s="115"/>
      <c r="AM15" s="36"/>
      <c r="AN15" s="36"/>
      <c r="AO15" s="41"/>
      <c r="AP15" s="42"/>
      <c r="AQ15" s="36"/>
      <c r="AR15" s="36"/>
      <c r="AS15" s="36"/>
      <c r="AT15" s="36"/>
      <c r="AU15" s="36"/>
      <c r="AV15" s="36"/>
      <c r="BZ15" s="130"/>
      <c r="CA15" s="130"/>
      <c r="CB15" s="130"/>
      <c r="CC15" s="130"/>
      <c r="CD15" s="130"/>
      <c r="CE15" s="130"/>
    </row>
    <row r="16" spans="2:84" ht="5.0999999999999996" customHeight="1" x14ac:dyDescent="0.25">
      <c r="BZ16" s="131"/>
      <c r="CA16" s="131"/>
      <c r="CB16" s="131"/>
      <c r="CC16" s="131"/>
      <c r="CD16" s="131"/>
      <c r="CE16" s="131"/>
    </row>
    <row r="17" spans="2:84" ht="27.95" customHeight="1" x14ac:dyDescent="0.25">
      <c r="B17" s="113" t="s">
        <v>24</v>
      </c>
      <c r="C17" s="113"/>
      <c r="D17" s="87" t="s">
        <v>45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39" t="s">
        <v>0</v>
      </c>
      <c r="AC17" s="116" t="str">
        <f>IF(ISTEXT(AC13),IF(OR(AC13="10",AC13="11"),"Assistant Professor",IF(AC13="12","Associate Professor",IF(OR(AC13="13A",AC13="14"),"Professor",""))),"")</f>
        <v/>
      </c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BZ17" s="131"/>
      <c r="CA17" s="131"/>
      <c r="CB17" s="131"/>
      <c r="CC17" s="131"/>
      <c r="CD17" s="131"/>
      <c r="CE17" s="131"/>
    </row>
    <row r="18" spans="2:84" ht="5.0999999999999996" customHeight="1" x14ac:dyDescent="0.25"/>
    <row r="19" spans="2:84" x14ac:dyDescent="0.25">
      <c r="B19" s="113" t="s">
        <v>25</v>
      </c>
      <c r="C19" s="113"/>
      <c r="D19" s="71" t="s">
        <v>46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39" t="s">
        <v>0</v>
      </c>
      <c r="AC19" s="71" t="str">
        <f>IF(AND(ISTEXT(AC11),ISNUMBER(AC15),ISNUMBER(AF15),ISNUMBER(AI15)),IF(AC11="Assistant Professor - Academic Level 10","11",IF(AC11="Assistant Professor - Academic Level 11","12",IF(AC11="Assistant Professor - Academic Level 12","13A",IF(AC11="Associate Professor - Academic Level 13A","14",IF(AC11="Professor - Academic Level 14","15",""))))),"")</f>
        <v/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</row>
    <row r="20" spans="2:84" ht="5.0999999999999996" customHeight="1" x14ac:dyDescent="0.25"/>
    <row r="21" spans="2:84" x14ac:dyDescent="0.25">
      <c r="B21" s="113" t="s">
        <v>26</v>
      </c>
      <c r="C21" s="113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39" t="s">
        <v>0</v>
      </c>
      <c r="AC21" s="71" t="str">
        <f>IF(AND(ISNUMBER(AC23),ISTEXT(AC13)),IF(AC13="10",CA23,IF(AC13="11",CB23,IF(AC13="12",CC23,IF(AC13="13A",CD23,IF(AC13="14",CE23,""))))),"")</f>
        <v/>
      </c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</row>
    <row r="22" spans="2:84" ht="5.0999999999999996" customHeight="1" x14ac:dyDescent="0.25"/>
    <row r="23" spans="2:84" x14ac:dyDescent="0.25">
      <c r="B23" s="113" t="s">
        <v>27</v>
      </c>
      <c r="C23" s="113"/>
      <c r="D23" s="71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39" t="s">
        <v>0</v>
      </c>
      <c r="AC23" s="71" t="str">
        <f>IF(AND(ISNUMBER(AI15),ISNUMBER(AF15),ISNUMBER(AC15)),IF(ISNUMBER('Basic Information'!K13),'Basic Information'!K13,""),"")</f>
        <v/>
      </c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CA23" s="3" t="str">
        <f>IF(AND(ISTEXT(AC13),ISNUMBER(AC23)),IF(AC13="10",IF(AC23&lt;=57700,1,IF(AC23&lt;=59400,2,IF(AC23&lt;=61200,3,IF(AC23&lt;=63000,4,IF(AC23&lt;=64900,5,IF(AC23&lt;=66800,6,IF(AC23&lt;=68800,7,IF(AC23&lt;=70900,8,IF(AC23&lt;=73000,9,IF(AC23&lt;=75200,10,IF(AC23&lt;=77500,11,IF(AC23&lt;=79800,12,IF(AC23&lt;=82200,13,IF(AC23&lt;=84700,14,IF(AC23&lt;=87200,15,IF(AC23&lt;=89800,16,IF(AC23&lt;=92500,17,IF(AC23&lt;=95300,18,IF(AC23&lt;=98200,19,IF(AC23&lt;=101100,20,IF(AC23&lt;=104100,21,IF(AC23&lt;=107200,22,IF(AC23&lt;=110400,23,IF(AC23&lt;=113700,24,IF(AC23&lt;=117100,25,IF(AC23&lt;=120600,26,IF(AC23&lt;=124200,27,IF(AC23&lt;=127900,28,IF(AC23&lt;=131700,29,IF(AC23&lt;=135700,30,IF(AC23&lt;=139800,31,IF(AC23&lt;=144000,32,IF(AC23&lt;=148300,33,IF(AC23&lt;=152700,34,IF(AC23&lt;=157300,35,IF(AC23&lt;=162000,36,IF(AC23&lt;=166900,37,IF(AC23&lt;=171900,38,IF(AC23&lt;=177100,39,IF(AC23&lt;=182400,40,40))))))))))))))))))))))))))))))))))))))))),"")</f>
        <v/>
      </c>
      <c r="CB23" s="3" t="str">
        <f>IF(AND(ISTEXT(AC13),ISNUMBER(AC23)),IF(AC13="11",IF(AC23&lt;=68900,1,IF(AC23&lt;=71000,2,IF(AC23&lt;=73100,3,IF(AC23&lt;=75300,4,IF(AC23&lt;=77600,5,IF(AC23&lt;=79900,6,IF(AC23&lt;=82300,7,IF(AC23&lt;=84800,8,IF(AC23&lt;=87300,9,IF(AC23&lt;=89900,10,IF(AC23&lt;=92600,11,IF(AC23&lt;=95400,12,IF(AC23&lt;=98300,13,IF(AC23&lt;=101200,14,IF(AC23&lt;=104200,15,IF(AC23&lt;=107300,16,IF(AC23&lt;=110500,17,IF(AC23&lt;=113800,18,IF(AC23&lt;=117200,19,IF(AC23&lt;=120700,20,IF(AC23&lt;=124300,21,IF(AC23&lt;=128000,22,IF(AC23&lt;=131800,23,IF(AC23&lt;=135800,24,IF(AC23&lt;=139900,25,IF(AC23&lt;=144100,26,IF(AC23&lt;=148400,27,IF(AC23&lt;=152900,28,IF(AC23&lt;=157500,29,IF(AC23&lt;=162200,30,IF(AC23&lt;=167100,31,IF(AC23&lt;=172100,32,IF(AC23&lt;=177300,33,IF(AC23&lt;=182600,34,IF(AC23&lt;=188100,35,IF(AC23&lt;=193700,36,IF(AC23&lt;=199500,37,IF(AC23&lt;=205500,38,38))))))))))))))))))))))))))))))))))))))),"")</f>
        <v/>
      </c>
      <c r="CC23" s="3" t="str">
        <f>IF(AND(ISTEXT(AC13),ISNUMBER(AC23)),IF(AC13="12",IF(AC23&lt;=79800,1,IF(AC23&lt;=82200,2,IF(AC23&lt;=84700,3,IF(AC23&lt;=87200,4,IF(AC23&lt;=89800,5,IF(AC23&lt;=92500,6,IF(AC23&lt;=95300,7,IF(AC23&lt;=98200,8,IF(AC23&lt;=101100,9,IF(AC23&lt;=104100,10,IF(AC23&lt;=107200,11,IF(AC23&lt;=110400,12,IF(AC23&lt;=113700,13,IF(AC23&lt;=117200,14,IF(AC23&lt;=120600,15,IF(AC23&lt;=124200,16,IF(AC23&lt;=127900,17,IF(AC23&lt;=131700,18,IF(AC23&lt;=135700,19,IF(AC23&lt;=139800,20,IF(AC23&lt;=144000,21,IF(AC23&lt;=148300,22,IF(AC23&lt;=152700,23,IF(AC23&lt;=157300,24,IF(AC23&lt;=162000,25,IF(AC23&lt;=166900,26,IF(AC23&lt;=171900,27,IF(AC23&lt;=177100,28,IF(AC23&lt;=182400,29,IF(AC23&lt;=187900,30,IF(AC23&lt;=193500,31,IF(AC23&lt;=199300,32,IF(AC23&lt;=205300,33,IF(AC23&lt;=211500,34,34))))))))))))))))))))))))))))))))))),"")</f>
        <v/>
      </c>
      <c r="CD23" s="3" t="str">
        <f>IF(AND(ISTEXT(AC13),ISNUMBER(AC23)),IF(AC13="13A",IF(AC23&lt;=131400,1,IF(AC23&lt;=135300,2,IF(AC23&lt;=139400,3,IF(AC23&lt;=143600,4,IF(AC23&lt;=147900,5,IF(AC23&lt;=152300,6,IF(AC23&lt;=156900,7,IF(AC23&lt;=161600,8,IF(AC23&lt;=166400,9,IF(AC23&lt;=171400,10,IF(AC23&lt;=176500,11,IF(AC23&lt;=181800,12,IF(AC23&lt;=187300,13,IF(AC23&lt;=192900,14,IF(AC23&lt;=198700,15,IF(AC23&lt;=204700,16,IF(AC23&lt;=210800,17,IF(AC23&lt;=217100,18,18))))))))))))))))))),"")</f>
        <v/>
      </c>
      <c r="CE23" s="3" t="str">
        <f>IF(AND(ISTEXT(AC13),ISNUMBER(AC23)),IF(AC13="14",IF(AC23&lt;=144200,1,IF(AC23&lt;=148500,2,IF(AC23&lt;=153000,3,IF(AC23&lt;=157600,4,IF(AC23&lt;=162300,5,IF(AC23&lt;=167200,6,IF(AC23&lt;=172200,7,IF(AC23&lt;=177400,8,IF(AC23&lt;=182700,9,IF(AC23&lt;=188200,10,IF(AC23&lt;=193800,11,IF(AC23&lt;=199600,12,IF(AC23&lt;=205600,13,IF(AC23&lt;=211800,14,IF(AC23&lt;=218200,15,15)))))))))))))))),"")</f>
        <v/>
      </c>
    </row>
    <row r="24" spans="2:84" ht="5.0999999999999996" customHeight="1" x14ac:dyDescent="0.25"/>
    <row r="25" spans="2:84" ht="60.75" customHeight="1" x14ac:dyDescent="0.25">
      <c r="B25" s="113" t="s">
        <v>28</v>
      </c>
      <c r="C25" s="113"/>
      <c r="D25" s="87" t="s">
        <v>49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39" t="s">
        <v>0</v>
      </c>
      <c r="AC25" s="71" t="str">
        <f>IF(ISNUMBER(AC23),MROUND(AC23*1.03,100),"")</f>
        <v/>
      </c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</row>
    <row r="26" spans="2:84" ht="5.0999999999999996" customHeight="1" x14ac:dyDescent="0.25"/>
    <row r="27" spans="2:84" x14ac:dyDescent="0.25">
      <c r="B27" s="113" t="s">
        <v>29</v>
      </c>
      <c r="C27" s="113"/>
      <c r="D27" s="71" t="s">
        <v>50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39" t="s">
        <v>0</v>
      </c>
      <c r="AC27" s="114" t="str">
        <f>IF(ISBLANK(AC19),"",AC19)</f>
        <v/>
      </c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</row>
    <row r="28" spans="2:84" ht="5.0999999999999996" customHeight="1" x14ac:dyDescent="0.25"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2:84" ht="47.25" customHeight="1" x14ac:dyDescent="0.25">
      <c r="B29" s="113" t="s">
        <v>30</v>
      </c>
      <c r="C29" s="113"/>
      <c r="D29" s="87" t="s">
        <v>51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39" t="s">
        <v>0</v>
      </c>
      <c r="AC29" s="114" t="str">
        <f>IF(AND(ISNUMBER(AC25),ISTEXT(AC27)),IF(AC27="11",CB29,IF(AC27="12",CC29,IF(AC27="13A",CD29,IF(AC27="14",CE29,IF(AC27="15",CF29,""))))),"")</f>
        <v/>
      </c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CB29" s="3" t="str">
        <f>IF(AND(ISTEXT(AC27),ISNUMBER(AC25)),IF(AC27="11",IF(AC25&lt;=68900,1,IF(AC25&lt;=71000,2,IF(AC25&lt;=73100,3,IF(AC25&lt;=75300,4,IF(AC25&lt;=77600,5,IF(AC25&lt;=79900,6,IF(AC25&lt;=82300,7,IF(AC25&lt;=84800,8,IF(AC25&lt;=87300,9,IF(AC25&lt;=89900,10,IF(AC25&lt;=92600,11,IF(AC25&lt;=95400,12,IF(AC25&lt;=98300,13,IF(AC25&lt;=101200,14,IF(AC25&lt;=104200,15,IF(AC25&lt;=107300,16,IF(AC25&lt;=110500,17,IF(AC25&lt;=113800,18,IF(AC25&lt;=117200,19,IF(AC25&lt;=120700,20,IF(AC25&lt;=124300,21,IF(AC25&lt;=128000,22,IF(AC25&lt;=131800,23,IF(AC25&lt;=135800,24,IF(AC25&lt;=139900,25,IF(AC25&lt;=144100,26,IF(AC25&lt;=148400,27,IF(AC25&lt;=152900,28,IF(AC25&lt;=157500,29,IF(AC25&lt;=162200,30,IF(AC25&lt;=167100,31,IF(AC25&lt;=172100,32,IF(AC25&lt;=177300,33,IF(AC25&lt;=182600,34,IF(AC25&lt;=188100,35,IF(AC25&lt;=193700,36,IF(AC25&lt;=199500,37,IF(AC25&lt;=205500,38,38))))))))))))))))))))))))))))))))))))))),"")</f>
        <v/>
      </c>
      <c r="CC29" s="3" t="str">
        <f>IF(AND(ISTEXT(AC27),ISNUMBER(AC25)),IF(AC27="12",IF(AC25&lt;=79800,1,IF(AC25&lt;=82200,2,IF(AC25&lt;=84700,3,IF(AC25&lt;=87200,4,IF(AC25&lt;=89800,5,IF(AC25&lt;=92500,6,IF(AC25&lt;=95300,7,IF(AC25&lt;=98200,8,IF(AC25&lt;=101100,9,IF(AC25&lt;=104100,10,IF(AC25&lt;=107200,11,IF(AC25&lt;=110400,12,IF(AC25&lt;=113700,13,IF(AC25&lt;=117200,14,IF(AC25&lt;=120600,15,IF(AC25&lt;=124200,16,IF(AC25&lt;=127900,17,IF(AC25&lt;=131700,18,IF(AC25&lt;=135700,19,IF(AC25&lt;=139800,20,IF(AC25&lt;=144000,21,IF(AC25&lt;=148300,22,IF(AC25&lt;=152700,23,IF(AC25&lt;=157300,24,IF(AC25&lt;=162000,25,IF(AC25&lt;=166900,26,IF(AC25&lt;=171900,27,IF(AC25&lt;=177100,28,IF(AC25&lt;=182400,29,IF(AC25&lt;=187900,30,IF(AC25&lt;=193500,31,IF(AC25&lt;=199300,32,IF(AC25&lt;=205300,33,IF(AC25&lt;=211500,34,34))))))))))))))))))))))))))))))))))),"")</f>
        <v/>
      </c>
      <c r="CD29" s="3" t="str">
        <f>IF(AND(ISTEXT(AC27),ISNUMBER(AC25)),IF(AC27="13A",IF(AC25&lt;=131400,1,IF(AC25&lt;=135300,2,IF(AC25&lt;=139400,3,IF(AC25&lt;=143600,4,IF(AC25&lt;=147900,5,IF(AC25&lt;=152300,6,IF(AC25&lt;=156900,7,IF(AC25&lt;=161600,8,IF(AC25&lt;=166400,9,IF(AC25&lt;=171400,10,IF(AC25&lt;=176500,11,IF(AC25&lt;=181800,12,IF(AC25&lt;=187300,13,IF(AC25&lt;=192900,14,IF(AC25&lt;=198700,15,IF(AC25&lt;=204700,16,IF(AC25&lt;=210800,17,IF(AC25&lt;=217100,18,18))))))))))))))))))),"")</f>
        <v/>
      </c>
      <c r="CE29" s="3" t="str">
        <f>IF(AND(ISTEXT(AC27),ISNUMBER(AC25)),IF(AC27="14",IF(AC25&lt;=144200,1,IF(AC25&lt;=148500,2,IF(AC25&lt;=153000,3,IF(AC25&lt;=157600,4,IF(AC25&lt;=162300,5,IF(AC25&lt;=167200,6,IF(AC25&lt;=172200,7,IF(AC25&lt;=177400,8,IF(AC25&lt;=182700,9,IF(AC25&lt;=188200,10,IF(AC25&lt;=193800,11,IF(AC25&lt;=199600,12,IF(AC25&lt;=205600,13,IF(AC25&lt;=211800,14,IF(AC25&lt;=218200,15,15)))))))))))))))),"")</f>
        <v/>
      </c>
      <c r="CF29" s="3" t="str">
        <f>IF(AND(ISTEXT(AC27),ISNUMBER(AC25)),IF(AC27="15",IF(AC25&lt;=182200,1,IF(AC25&lt;=187700,2,IF(AC25&lt;=193300,3,IF(AC25&lt;=199100,4,IF(AC25&lt;=205100,5,IF(AC25&lt;=211300,6,IF(AC25&lt;=217600,7,IF(AC25&lt;=224100,8,8))))))))),"")</f>
        <v/>
      </c>
    </row>
    <row r="30" spans="2:84" ht="5.0999999999999996" customHeight="1" x14ac:dyDescent="0.25"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CB30" s="3"/>
      <c r="CC30" s="3"/>
      <c r="CD30" s="3"/>
      <c r="CE30" s="3"/>
    </row>
    <row r="31" spans="2:84" x14ac:dyDescent="0.25">
      <c r="B31" s="113" t="s">
        <v>31</v>
      </c>
      <c r="C31" s="113"/>
      <c r="D31" s="71" t="s">
        <v>52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39" t="s">
        <v>0</v>
      </c>
      <c r="AC31" s="114" t="str">
        <f>IF(ISTEXT(AC19),IF(AC19="11",CB31,IF(AC19="12",CC31,IF(AC19="13A",CD31,IF(AC19="14",CE31,IF(AC19="15",CF31,""))))),"")</f>
        <v/>
      </c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CB31" s="3" t="str">
        <f>IF(AND(ISNUMBER(AC25),ISTEXT(AC27)),IF(AC27="11",IF(AC25&lt;=68900,68900,IF(AND(AC25&gt;68900,AC25&lt;=71000),71000,IF(AND(AC25&gt;71000,AC25&lt;=73100),73100,IF(AND(AC25&gt;73100,AC25&lt;=75300),75300,IF(AND(AC25&gt;75300,AC25&lt;=77600),77600,IF(AND(AC25&gt;77600,AC25&lt;=79900),79900,IF(AND(AC25&gt;79900,AC25&lt;=82300),82300,IF(AND(AC25&gt;82300,AC25&lt;=84800),84800,IF(AND(AC25&gt;84800,AC25&lt;=87300),87300,IF(AND(AC25&gt;87300,AC25&lt;=89900),89900,IF(AND(AC25&gt;89900,AC25&lt;=92600),92600,IF(AND(AC25&gt;92600,AC25&lt;=95400),95400,IF(AND(AC25&gt;95400,AC25&lt;=98300),98300,IF(AND(AC25&gt;98300,AC25&lt;=101200),101200,IF(AND(AC25&gt;101200,AC25&lt;=104200),104200,IF(AND(AC25&gt;104200,AC25&lt;=107300),107300,IF(AND(AC25&gt;107300,AC25&lt;=110500),110500,IF(AND(AC25&gt;110500,AC25&lt;=113800),113800,IF(AND(AC25&gt;113800,AC25&lt;=117200),117200,IF(AND(AC25&gt;117200,AC25&lt;=120700),120700,IF(AND(AC25&gt;120700,AC25&lt;=124300),124300,IF(AND(AC25&gt;124300,AC25&lt;=128000),128000,IF(AND(AC25&gt;128000,AC25&lt;=131800),131800,IF(AND(AC25&gt;131800,AC25&lt;=135800),135800,IF(AND(AC25&gt;135800,AC25&lt;=139900),139900,IF(AND(AC25&gt;139900,AC25&lt;=144100),144100,IF(AND(AC25&gt;144100,AC25&lt;=148400),148400,IF(AND(AC25&gt;148400,AC25&lt;=152900),152900,IF(AND(AC25&gt;152900,AC25&lt;=157500),157500,IF(AND(AC25&gt;157500,AC25&lt;=162200),162200,IF(AND(AC25&gt;162200,AC25&lt;=167100),167100,IF(AND(AC25&gt;167100,AC25&lt;=172100),172100,IF(AND(AC25&gt;172100,AC25&lt;=177300),177300,IF(AND(AC25&gt;177300,AC25&lt;=182600),182600,IF(AND(AC25&gt;182600,AC25&lt;=188100),188100,IF(AND(AC25&gt;188100,AC25&lt;=193700),193700,IF(AND(AC25&gt;193700,AC25&lt;=199500),199500,IF(AND(AC25&gt;199500,AC25&lt;=205500),205500,205500))))))))))))))))))))))))))))))))))))))),"")</f>
        <v/>
      </c>
      <c r="CC31" s="3" t="str">
        <f>IF(AND(ISNUMBER(AC25),ISTEXT(AC27)),IF(AC27="12",IF(AC25&lt;=79800,79800,IF(AND(AC25&gt;79800,AC25&lt;=82200),82200,IF(AND(AC25&gt;82200,AC25&lt;=84700),84700,IF(AND(AC25&gt;84700,AC25&lt;=87200),87200,IF(AND(AC25&gt;87200,AC25&lt;=89800),89800,IF(AND(AC25&gt;89800,AC25&lt;=92500),92500,IF(AND(AC25&gt;92500,AC25&lt;=95300),95300,IF(AND(AC25&gt;95300,AC25&lt;=98200),98200,IF(AND(AC25&gt;98200,AC25&lt;=101100),101100,IF(AND(AC25&gt;101100,AC25&lt;=104100),104100,IF(AND(AC25&gt;104100,AC25&lt;=107200),107200,IF(AND(AC25&gt;107200,AC25&lt;=110400),110400,IF(AND(AC25&gt;110400,AC25&lt;=113700),113700,IF(AND(AC25&gt;113700,AC25&lt;=117200),117200,IF(AND(AC25&gt;117200,AC25&lt;=120600),120600,IF(AND(AC25&gt;120600,AC25&lt;=124200),124200,IF(AND(AC25&gt;124200,AC25&lt;=127900),127900,IF(AND(AC25&gt;127900,AC25&lt;=131700),131700,IF(AND(AC25&gt;131700,AC25&lt;=135700),135700,IF(AND(AC25&gt;135700,AC25&lt;=139800),139800,IF(AND(AC25&gt;139800,AC25&lt;=144000),144000,IF(AND(AC25&gt;144000,AC25&lt;=148300),148300,IF(AND(AC25&gt;148300,AC25&lt;=152700),152700,IF(AND(AC25&gt;152700,AC25&lt;=157300),157300,IF(AND(AC25&gt;157300,AC25&lt;=162000),162000,IF(AND(AC25&gt;162000,AC25&lt;=166900),166900,IF(AND(AC25&gt;166900,AC25&lt;=171900),171900,IF(AND(AC25&gt;171900,AC25&lt;=177100),177100,IF(AND(AC25&gt;177100,AC25&lt;=182400),182400,IF(AND(AC25&gt;182400,AC25&lt;=187900),187900,IF(AND(AC25&gt;187900,AC25&lt;=193500),193500,IF(AND(AC25&gt;193500,AC25&lt;=199300),199300,IF(AND(AC25&gt;199300,AC25&lt;=205300),205300,IF(AND(AC25&gt;205300,AC25&lt;=211500),211500,211500))))))))))))))))))))))))))))))))))),"")</f>
        <v/>
      </c>
      <c r="CD31" s="3" t="str">
        <f>IF(AND(ISNUMBER(AC25),ISTEXT(AC27)),IF(AC27="13A",IF(AC25&lt;=131400,131400,IF(AND(AC25&gt;131400,AC25&lt;=135300),135300,IF(AND(AC25&gt;135300,AC25&lt;=139400),139400,IF(AND(AC25&gt;139400,AC25&lt;=143600),143600,IF(AND(AC25&gt;143600,AC25&lt;=147900),147900,IF(AND(AC25&gt;147900,AC25&lt;=152300),152300,IF(AND(AC25&gt;152300,AC25&lt;=156900),156900,IF(AND(AC25&gt;156900,AC25&lt;=161600),161600,IF(AND(AC25&gt;161600,AC25&lt;=166400),166400,IF(AND(AC25&gt;166400,AC25&lt;=171400),171400,IF(AND(AC25&gt;171400,AC25&lt;=176500),176500,IF(AND(AC25&gt;176500,AC25&lt;=181800),181800,IF(AND(AC25&gt;181800,AC25&lt;=187300),187300,IF(AND(AC25&gt;187300,AC25&lt;=192900),192900,IF(AND(AC25&gt;192900,AC25&lt;=198700),198700,IF(AND(AC25&gt;198700,AC25&lt;=204700),204700,IF(AND(AC25&gt;204700,AC25&lt;=210800),210800,IF(AND(AC25&gt;210800,AC25&lt;=217100),217100,217100))))))))))))))))))),"")</f>
        <v/>
      </c>
      <c r="CE31" s="3" t="str">
        <f>IF(AND(ISNUMBER(AC25),ISTEXT(AC27)),IF(AC27="14",IF(AC25&lt;=144200,144200,IF(AND(AC25&gt;144200,AC25&lt;=148500),148500,IF(AND(AC25&gt;148500,AC25&lt;=153000),153000,IF(AND(AC25&gt;153000,AC25&lt;=157600),157600,IF(AND(AC25&gt;157600,AC25&lt;=162300),162300,IF(AND(AC25&gt;162300,AC25&lt;=167200),167200,IF(AND(AC25&gt;167200,AC25&lt;=172200),172200,IF(AND(AC25&gt;172200,AC25&lt;=177400),177400,IF(AND(AC25&gt;177400,AC25&lt;=182700),182700,IF(AND(AC25&gt;182700,AC25&lt;=188200),188200,IF(AND(AC25&gt;188200,AC25&lt;=193800),193800,IF(AND(AC25&gt;193800,AC25&lt;=199600),199600,IF(AND(AC25&gt;199600,AC25&lt;=205600),205600,IF(AND(AC25&gt;205600,AC25&lt;=211800),211800,IF(AND(AC25&gt;211800,AC25&lt;=218200),218200,218200)))))))))))))))),"")</f>
        <v/>
      </c>
      <c r="CF31" s="3" t="str">
        <f>IF(AND(ISNUMBER(AC25),ISTEXT(AC27)),IF(AC27="15",IF(AC25&lt;=182200,182200,IF(AND(AC25&gt;182200,AC25&lt;=187700),187700,IF(AND(AC25&gt;187700,AC25&lt;=193300),193300,IF(AND(AC25&gt;193300,AC25&lt;=199100),199100,IF(AND(AC25&gt;199100,AC25&lt;=205100),205100,IF(AND(AC25&gt;205100,AC25&lt;=211300),211300,IF(AND(AC25&gt;211300,AC25&lt;=217600),217600,IF(AND(AC25&gt;217600,AC25&lt;=224100),224100,224100))))))))),"")</f>
        <v/>
      </c>
    </row>
    <row r="32" spans="2:84" ht="5.0999999999999996" customHeight="1" x14ac:dyDescent="0.25"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2:84" ht="31.5" customHeight="1" x14ac:dyDescent="0.25">
      <c r="B33" s="113" t="s">
        <v>32</v>
      </c>
      <c r="C33" s="113"/>
      <c r="D33" s="87" t="s">
        <v>53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39" t="s">
        <v>0</v>
      </c>
      <c r="AC33" s="114" t="str">
        <f>IF(ISBLANK(AC31),"",AC31)</f>
        <v/>
      </c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CA33" s="3">
        <f>IF(AND(ISNUMBER(AI15),ISNUMBER(AF15),ISNUMBER(AC15)),IF(AND(DATE(AI15,1,2)&lt;=DATE(AI15,AF15,AC15),DATE(AI15,AF15,AC15)&lt;=DATE(AI15,7,1)),DATE(AI15+1,1,1),IF(AND(DATE(AI15,7,2)&lt;=DATE(AI15,AF15,AC15),DATE(AI15,AF15,AC15)&lt;=DATE(AI15+1,1,1)),DATE(AI15+1,7,1),DATE(AI15,7,1))),)</f>
        <v>0</v>
      </c>
      <c r="CB33" s="3">
        <f>IF(AND(ISNUMBER('Basic Information'!Q27),ISNUMBER('Basic Information'!N27),ISNUMBER('Basic Information'!K27)),DATE('Basic Information'!Q27,'Basic Information'!N27,'Basic Information'!K27),)</f>
        <v>0</v>
      </c>
    </row>
    <row r="34" spans="2:84" ht="5.0999999999999996" customHeight="1" x14ac:dyDescent="0.25">
      <c r="CA34" s="3"/>
      <c r="CB34" s="3"/>
      <c r="CC34" s="3"/>
      <c r="CD34" s="3"/>
      <c r="CE34" s="3"/>
    </row>
    <row r="35" spans="2:84" x14ac:dyDescent="0.25">
      <c r="B35" s="113" t="s">
        <v>36</v>
      </c>
      <c r="C35" s="113"/>
      <c r="D35" s="71" t="s">
        <v>85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39" t="s">
        <v>0</v>
      </c>
      <c r="AC35" s="114" t="str">
        <f>IF(AND(ISNUMBER('Basic Information'!K17),ISNUMBER(AC33)), 'Basic Information'!K17,IF(ISNUMBER(AC33),"NA",""))</f>
        <v/>
      </c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CB35" s="3"/>
      <c r="CC35" s="3"/>
      <c r="CD35" s="3"/>
      <c r="CE35" s="3"/>
      <c r="CF35" s="3"/>
    </row>
    <row r="36" spans="2:84" ht="5.0999999999999996" customHeight="1" x14ac:dyDescent="0.25">
      <c r="CA36" s="3"/>
      <c r="CB36" s="3"/>
      <c r="CC36" s="3"/>
      <c r="CD36" s="3"/>
      <c r="CE36" s="3"/>
    </row>
    <row r="37" spans="2:84" x14ac:dyDescent="0.25">
      <c r="B37" s="113" t="s">
        <v>54</v>
      </c>
      <c r="C37" s="113"/>
      <c r="D37" s="71" t="s">
        <v>86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39" t="s">
        <v>0</v>
      </c>
      <c r="AC37" s="114" t="str">
        <f>IF(AND(ISNUMBER('Basic Information'!K19),ISNUMBER(AC33)), 'Basic Information'!K19,IF(ISNUMBER(AC33),"NA",""))</f>
        <v/>
      </c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CB37" s="3"/>
      <c r="CC37" s="3"/>
      <c r="CD37" s="3"/>
      <c r="CE37" s="3"/>
      <c r="CF37" s="3"/>
    </row>
    <row r="38" spans="2:84" ht="5.0999999999999996" customHeight="1" x14ac:dyDescent="0.25">
      <c r="CA38" s="3"/>
      <c r="CB38" s="3"/>
      <c r="CC38" s="3"/>
      <c r="CD38" s="3"/>
      <c r="CE38" s="3"/>
    </row>
    <row r="39" spans="2:84" x14ac:dyDescent="0.25">
      <c r="B39" s="113" t="s">
        <v>82</v>
      </c>
      <c r="C39" s="113"/>
      <c r="D39" s="71" t="s">
        <v>33</v>
      </c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39" t="s">
        <v>0</v>
      </c>
      <c r="AC39" s="120" t="str">
        <f>IF(AND(CA33&lt;&gt;0,CB33&lt;&gt;0,ISNUMBER(AC33)),DAY(CA33),"")</f>
        <v/>
      </c>
      <c r="AD39" s="120"/>
      <c r="AE39" s="37" t="str">
        <f>IF(AND(ISNUMBER(AC39),ISNUMBER(AF39)),"/","")</f>
        <v/>
      </c>
      <c r="AF39" s="120" t="str">
        <f>IF(AND(CA33&lt;&gt;0,CB33&lt;&gt;0,ISNUMBER(AC33)),MONTH(CA33),"")</f>
        <v/>
      </c>
      <c r="AG39" s="120"/>
      <c r="AH39" s="37" t="str">
        <f>IF(AND(ISNUMBER(AF39),ISNUMBER(AI39)),"/","")</f>
        <v/>
      </c>
      <c r="AI39" s="122" t="str">
        <f>IF(AND(CA33&lt;&gt;0,CB33&lt;&gt;0,ISNUMBER(AC33)),YEAR(CA33),"")</f>
        <v/>
      </c>
      <c r="AJ39" s="122"/>
      <c r="AK39" s="122"/>
      <c r="AL39" s="122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CA39" s="3"/>
      <c r="CB39" s="3"/>
      <c r="CC39" s="3"/>
      <c r="CD39" s="3"/>
      <c r="CE39" s="3"/>
    </row>
    <row r="40" spans="2:84" ht="5.0999999999999996" customHeight="1" x14ac:dyDescent="0.25"/>
    <row r="41" spans="2:84" x14ac:dyDescent="0.25">
      <c r="D41" s="123" t="s">
        <v>34</v>
      </c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 t="s">
        <v>35</v>
      </c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</row>
    <row r="42" spans="2:84" x14ac:dyDescent="0.25">
      <c r="D42" s="5"/>
      <c r="E42" s="124" t="str">
        <f>IF(AND(CA33&lt;&gt;0,CB33&lt;&gt;0,CA33&lt;CB33,ISNUMBER(AC33)),DAY(CA33),"")</f>
        <v/>
      </c>
      <c r="F42" s="124"/>
      <c r="G42" s="43" t="str">
        <f t="shared" ref="G42:G47" si="0">IF(AND(ISNUMBER(E42),ISNUMBER(H42)),"/","")</f>
        <v/>
      </c>
      <c r="H42" s="124" t="str">
        <f>IF(AND(CA33&lt;&gt;0,CB33&lt;&gt;0,CA33&lt;CB33,ISNUMBER(AC33)),MONTH(CA33),"")</f>
        <v/>
      </c>
      <c r="I42" s="124"/>
      <c r="J42" s="37" t="str">
        <f t="shared" ref="J42:J47" si="1">IF(AND(ISNUMBER(H42),ISNUMBER(K42)),"/","")</f>
        <v/>
      </c>
      <c r="K42" s="124" t="str">
        <f>IF(AND(CA33&lt;&gt;0,CB33&lt;&gt;0,CA33&lt;CB33,ISNUMBER(AC33)),YEAR(CA33),"")</f>
        <v/>
      </c>
      <c r="L42" s="124"/>
      <c r="M42" s="124"/>
      <c r="N42" s="44"/>
      <c r="O42" s="45"/>
      <c r="P42" s="125" t="str">
        <f>IF(AND(CA33&lt;&gt;0,CB33&lt;&gt;0,CA33&lt;CB33),IF(AC27="11",IF(MROUND(AC33*1.03,100)&lt;=205500,MROUND(AC33*1.03,100),205500),IF(AC27="12",IF(MROUND(AC33*1.03,100)&lt;=211500,MROUND(AC33*1.03,100),211500),IF(AC27="13A",IF(MROUND(AC33*1.03,100)&lt;=217100,MROUND(AC33*1.03,100),217100),IF(AC27="14",IF(MROUND(AC33*1.03,100)&lt;=218200,MROUND(AC33*1.03,100),218200),IF(AC27="15",IF(MROUND(AC33*1.03,100)&lt;=224100,MROUND(AC33*1.03,100),224100),""))))),"")</f>
        <v/>
      </c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W42" s="3"/>
      <c r="CA42" s="3"/>
    </row>
    <row r="43" spans="2:84" x14ac:dyDescent="0.25">
      <c r="D43" s="5"/>
      <c r="E43" s="124" t="str">
        <f>IF(ISNUMBER(K42),IF(DATE(K42+1,H42,E42)&lt;=CB33,E42,""),"")</f>
        <v/>
      </c>
      <c r="F43" s="124"/>
      <c r="G43" s="46" t="str">
        <f t="shared" si="0"/>
        <v/>
      </c>
      <c r="H43" s="124" t="str">
        <f>IF(ISNUMBER(K42),IF(DATE(K42+1,H42,E42)&lt;=CB33,H42,""),"")</f>
        <v/>
      </c>
      <c r="I43" s="124"/>
      <c r="J43" s="46" t="str">
        <f t="shared" si="1"/>
        <v/>
      </c>
      <c r="K43" s="124" t="str">
        <f>IF(ISNUMBER(K42),IF(DATE(K42+1,H42,E42)&lt;=CB33,K42+1,""),"")</f>
        <v/>
      </c>
      <c r="L43" s="124"/>
      <c r="M43" s="124"/>
      <c r="N43" s="44"/>
      <c r="O43" s="45"/>
      <c r="P43" s="125" t="str">
        <f>IF(ISNUMBER(K42),IF(DATE(K42+1,H42,E42)&lt;=CB33,IF(AC27="11",IF(MROUND(P42*1.03,100)&lt;=205500,MROUND(P42*1.03,100),205500),IF(AC27="12",IF(MROUND(P42*1.03,100)&lt;=211500,MROUND(P42*1.03,100),211500),IF(AC27="13A",IF(MROUND(P42*1.03,100)&lt;=217100,MROUND(P42*1.03,100),217100),IF(AC27="14",IF(MROUND(P42*1.03,100)&lt;=218200,MROUND(P42*1.03,100),218200),IF(AC27="15",IF(MROUND(P42*1.03,100)&lt;=224100,MROUND(P42*1.03,100),224100),""))))),""),"")</f>
        <v/>
      </c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W43" s="3"/>
    </row>
    <row r="44" spans="2:84" x14ac:dyDescent="0.25">
      <c r="D44" s="5"/>
      <c r="E44" s="124" t="str">
        <f>IF(ISNUMBER(K43),IF(DATE(K43+1,H43,E43)&lt;=CB33,E43,""),"")</f>
        <v/>
      </c>
      <c r="F44" s="124"/>
      <c r="G44" s="47" t="str">
        <f t="shared" si="0"/>
        <v/>
      </c>
      <c r="H44" s="124" t="str">
        <f>IF(ISNUMBER(K43),IF(DATE(K43+1,H43,E43)&lt;=CB33,H43,""),"")</f>
        <v/>
      </c>
      <c r="I44" s="124"/>
      <c r="J44" s="37" t="str">
        <f t="shared" si="1"/>
        <v/>
      </c>
      <c r="K44" s="124" t="str">
        <f>IF(ISNUMBER(K43),IF(DATE(K43+1,H43,E43)&lt;=CB33,K43+1,""),"")</f>
        <v/>
      </c>
      <c r="L44" s="124"/>
      <c r="M44" s="124"/>
      <c r="N44" s="44"/>
      <c r="O44" s="45"/>
      <c r="P44" s="125" t="str">
        <f>IF(ISNUMBER(K43),IF(DATE(K43+1,H43,E43)&lt;=CB33,IF(AC27="11",IF(MROUND(P43*1.03,100)&lt;=205500,MROUND(P43*1.03,100),205500),IF(AC27="12",IF(MROUND(P43*1.03,100)&lt;=211500,MROUND(P43*1.03,100),211500),IF(AC27="13A",IF(MROUND(P43*1.03,100)&lt;=217100,MROUND(P43*1.03,100),217100),IF(AC27="14",IF(MROUND(P43*1.03,100)&lt;=218200,MROUND(P43*1.03,100),218200),IF(AC27="15",IF(MROUND(P43*1.03,100)&lt;=224100,MROUND(P43*1.03,100),224100),""))))),""),"")</f>
        <v/>
      </c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W44" s="3"/>
    </row>
    <row r="45" spans="2:84" x14ac:dyDescent="0.25">
      <c r="D45" s="5"/>
      <c r="E45" s="124" t="str">
        <f>IF(ISNUMBER(K44),IF(DATE(K44+1,H44,E44)&lt;=CB33,E44,""),"")</f>
        <v/>
      </c>
      <c r="F45" s="124"/>
      <c r="G45" s="46" t="str">
        <f t="shared" si="0"/>
        <v/>
      </c>
      <c r="H45" s="124" t="str">
        <f>IF(ISNUMBER(K44),IF(DATE(K44+1,H44,E44)&lt;=CB33,H44,""),"")</f>
        <v/>
      </c>
      <c r="I45" s="124"/>
      <c r="J45" s="46" t="str">
        <f t="shared" si="1"/>
        <v/>
      </c>
      <c r="K45" s="124" t="str">
        <f>IF(ISNUMBER(K44),IF(DATE(K44+1,H44,E44)&lt;=CB33,K44+1,""),"")</f>
        <v/>
      </c>
      <c r="L45" s="124"/>
      <c r="M45" s="124"/>
      <c r="N45" s="44"/>
      <c r="O45" s="45"/>
      <c r="P45" s="125" t="str">
        <f>IF(ISNUMBER(K44),IF(DATE(K44+1,H44,E44)&lt;=CB33,IF(AC27="11",IF(MROUND(P44*1.03,100)&lt;=205500,MROUND(P44*1.03,100),205500),IF(AC27="12",IF(MROUND(P44*1.03,100)&lt;=211500,MROUND(P44*1.03,100),211500),IF(AC27="13A",IF(MROUND(P44*1.03,100)&lt;=217100,MROUND(P44*1.03,100),217100),IF(AC27="14",IF(MROUND(P44*1.03,100)&lt;=218200,MROUND(P44*1.03,100),218200),IF(AC27="15",IF(MROUND(P44*1.03,100)&lt;=224100,MROUND(P44*1.03,100),224100),""))))),""),"")</f>
        <v/>
      </c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W45" s="3"/>
    </row>
    <row r="46" spans="2:84" x14ac:dyDescent="0.25">
      <c r="D46" s="5"/>
      <c r="E46" s="124" t="str">
        <f>IF(ISNUMBER(K45),IF(DATE(K45+1,H45,E45)&lt;=CB33,E45,""),"")</f>
        <v/>
      </c>
      <c r="F46" s="124"/>
      <c r="G46" s="46" t="str">
        <f t="shared" si="0"/>
        <v/>
      </c>
      <c r="H46" s="124" t="str">
        <f>IF(ISNUMBER(K45),IF(DATE(K45+1,H45,E45)&lt;=CB33,H45,""),"")</f>
        <v/>
      </c>
      <c r="I46" s="124"/>
      <c r="J46" s="37" t="str">
        <f t="shared" si="1"/>
        <v/>
      </c>
      <c r="K46" s="124" t="str">
        <f>IF(ISNUMBER(K45),IF(DATE(K45+1,H45,E45)&lt;=CB33,K45+1,""),"")</f>
        <v/>
      </c>
      <c r="L46" s="124"/>
      <c r="M46" s="124"/>
      <c r="N46" s="44"/>
      <c r="O46" s="45"/>
      <c r="P46" s="125" t="str">
        <f>IF(ISNUMBER(K45),IF(DATE(K45+1,H45,E45)&lt;=CB33,IF(AC27="11",IF(MROUND(P45*1.03,100)&lt;=205500,MROUND(P45*1.03,100),205500),IF(AC27="12",IF(MROUND(P45*1.03,100)&lt;=211500,MROUND(P45*1.03,100),211500),IF(AC27="13A",IF(MROUND(P45*1.03,100)&lt;=217100,MROUND(P45*1.03,100),217100),IF(AC27="14",IF(MROUND(P45*1.03,100)&lt;=218200,MROUND(P45*1.03,100),218200),IF(AC27="15",IF(MROUND(P45*1.03,100)&lt;=224100,MROUND(P45*1.03,100),224100),""))))),""),"")</f>
        <v/>
      </c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W46" s="3"/>
    </row>
    <row r="47" spans="2:84" x14ac:dyDescent="0.25">
      <c r="D47" s="5"/>
      <c r="E47" s="124" t="str">
        <f>IF(ISNUMBER(K46),IF(DATE(K46+1,H46,E46)&lt;=CB33,E46,""),"")</f>
        <v/>
      </c>
      <c r="F47" s="124"/>
      <c r="G47" s="48" t="str">
        <f t="shared" si="0"/>
        <v/>
      </c>
      <c r="H47" s="124" t="str">
        <f>IF(ISNUMBER(K46),IF(DATE(K46+1,H46,E46)&lt;=CB33,H46,""),"")</f>
        <v/>
      </c>
      <c r="I47" s="124"/>
      <c r="J47" s="46" t="str">
        <f t="shared" si="1"/>
        <v/>
      </c>
      <c r="K47" s="124" t="str">
        <f>IF(ISNUMBER(K46),IF(DATE(K46+1,H46,E46)&lt;=CB33,K46+1,""),"")</f>
        <v/>
      </c>
      <c r="L47" s="124"/>
      <c r="M47" s="124"/>
      <c r="N47" s="44"/>
      <c r="O47" s="45"/>
      <c r="P47" s="125" t="str">
        <f>IF(ISNUMBER(K46),IF(DATE(K46+1,H46,E46)&lt;=CB33,IF(AC27="11",IF(MROUND(P46*1.03,100)&lt;=205500,MROUND(P46*1.03,100),205500),IF(AC27="12",IF(MROUND(P46*1.03,100)&lt;=211500,MROUND(P46*1.03,100),211500),IF(AC27="13A",IF(MROUND(P46*1.03,100)&lt;=217100,MROUND(P46*1.03,100),217100),IF(AC27="14",IF(MROUND(P46*1.03,100)&lt;=218200,MROUND(P46*1.03,100),218200),IF(AC27="15",IF(MROUND(P46*1.03,100)&lt;=224100,MROUND(P46*1.03,100),224100),""))))),""),"")</f>
        <v/>
      </c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W47" s="3"/>
    </row>
    <row r="48" spans="2:84" ht="5.0999999999999996" customHeight="1" x14ac:dyDescent="0.25"/>
    <row r="49" spans="2:50" x14ac:dyDescent="0.25">
      <c r="B49" s="113" t="s">
        <v>83</v>
      </c>
      <c r="C49" s="113"/>
      <c r="D49" s="71" t="s">
        <v>37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39" t="s">
        <v>0</v>
      </c>
      <c r="R49" s="126" t="str">
        <f>IF(AND(ISNUMBER(AI39),ISTEXT('Basic Information'!K21)),'Basic Information'!K21,"")</f>
        <v/>
      </c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</row>
    <row r="50" spans="2:50" ht="5.0999999999999996" customHeight="1" x14ac:dyDescent="0.25"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</row>
    <row r="51" spans="2:50" x14ac:dyDescent="0.25"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</row>
    <row r="53" spans="2:50" x14ac:dyDescent="0.25">
      <c r="U53" s="71" t="s">
        <v>38</v>
      </c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</row>
    <row r="54" spans="2:50" ht="5.0999999999999996" customHeight="1" x14ac:dyDescent="0.25"/>
    <row r="55" spans="2:50" x14ac:dyDescent="0.25">
      <c r="D55" s="71" t="s">
        <v>39</v>
      </c>
      <c r="E55" s="71"/>
      <c r="F55" s="71"/>
      <c r="G55" s="71"/>
      <c r="H55" s="71"/>
      <c r="I55" s="39" t="s">
        <v>0</v>
      </c>
      <c r="J55" s="71" t="str">
        <f>IF(ISBLANK('Basic Information'!K25),"",PROPER('Basic Information'!K25))</f>
        <v/>
      </c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50" ht="5.0999999999999996" customHeight="1" x14ac:dyDescent="0.25"/>
    <row r="57" spans="2:50" x14ac:dyDescent="0.25">
      <c r="D57" s="71" t="s">
        <v>1</v>
      </c>
      <c r="E57" s="71"/>
      <c r="F57" s="71"/>
      <c r="G57" s="71"/>
      <c r="H57" s="71"/>
      <c r="I57" s="40" t="s">
        <v>0</v>
      </c>
      <c r="J57" s="71" t="str">
        <f>IF(AND(ISNUMBER('Basic Information'!K27),ISNUMBER('Basic Information'!N27),ISNUMBER('Basic Information'!Q27)),'Basic Information'!K27 &amp;"/"&amp; 'Basic Information'!N27 &amp;"/"&amp;'Basic Information'!Q27,"")</f>
        <v/>
      </c>
      <c r="K57" s="71"/>
      <c r="L57" s="71"/>
      <c r="M57" s="71"/>
      <c r="N57" s="71"/>
      <c r="O57" s="71"/>
      <c r="P57" s="71"/>
      <c r="Q57" s="71"/>
      <c r="R57" s="71"/>
      <c r="S57" s="71"/>
      <c r="T57" s="71"/>
      <c r="AA57" s="128" t="s">
        <v>40</v>
      </c>
      <c r="AB57" s="128"/>
      <c r="AC57" s="128"/>
      <c r="AD57" s="128"/>
      <c r="AE57" s="128"/>
      <c r="AF57" s="128"/>
      <c r="AG57" s="128"/>
      <c r="AH57" s="128"/>
      <c r="AI57" s="128"/>
      <c r="AJ57" s="128"/>
    </row>
  </sheetData>
  <sheetProtection algorithmName="SHA-512" hashValue="9EV+vLVl7HKCG1WuEELaFLCMiAHPfoOBujqF7hF5bKzkw5rKRH7sSSFkTMaS+6wvmABZxUvCMEAHbW3SjbGhog==" saltValue="TmNnP5iEoMaq2btogdtpzw==" spinCount="100000" sheet="1" selectLockedCells="1"/>
  <mergeCells count="96">
    <mergeCell ref="BZ12:CE17"/>
    <mergeCell ref="B4:AW5"/>
    <mergeCell ref="B27:C27"/>
    <mergeCell ref="D27:AA27"/>
    <mergeCell ref="AC27:AV27"/>
    <mergeCell ref="AC23:AV23"/>
    <mergeCell ref="D25:AA25"/>
    <mergeCell ref="AC25:AV25"/>
    <mergeCell ref="B25:C25"/>
    <mergeCell ref="B23:C23"/>
    <mergeCell ref="D23:AA23"/>
    <mergeCell ref="B15:C15"/>
    <mergeCell ref="AC15:AD15"/>
    <mergeCell ref="AF15:AG15"/>
    <mergeCell ref="B17:C17"/>
    <mergeCell ref="D17:AA17"/>
    <mergeCell ref="U53:AV53"/>
    <mergeCell ref="D55:H55"/>
    <mergeCell ref="J55:T55"/>
    <mergeCell ref="D57:H57"/>
    <mergeCell ref="J57:T57"/>
    <mergeCell ref="AA57:AJ57"/>
    <mergeCell ref="E47:F47"/>
    <mergeCell ref="H47:I47"/>
    <mergeCell ref="K47:M47"/>
    <mergeCell ref="P47:AU47"/>
    <mergeCell ref="B49:C49"/>
    <mergeCell ref="D49:P49"/>
    <mergeCell ref="R49:AX51"/>
    <mergeCell ref="E45:F45"/>
    <mergeCell ref="H45:I45"/>
    <mergeCell ref="K45:M45"/>
    <mergeCell ref="P45:AU45"/>
    <mergeCell ref="E46:F46"/>
    <mergeCell ref="H46:I46"/>
    <mergeCell ref="K46:M46"/>
    <mergeCell ref="P46:AU46"/>
    <mergeCell ref="E43:F43"/>
    <mergeCell ref="H43:I43"/>
    <mergeCell ref="K43:M43"/>
    <mergeCell ref="P43:AU43"/>
    <mergeCell ref="E44:F44"/>
    <mergeCell ref="H44:I44"/>
    <mergeCell ref="K44:M44"/>
    <mergeCell ref="P44:AU44"/>
    <mergeCell ref="D41:O41"/>
    <mergeCell ref="P41:AU41"/>
    <mergeCell ref="E42:F42"/>
    <mergeCell ref="H42:I42"/>
    <mergeCell ref="K42:M42"/>
    <mergeCell ref="P42:AU42"/>
    <mergeCell ref="B39:C39"/>
    <mergeCell ref="D39:AA39"/>
    <mergeCell ref="AC39:AD39"/>
    <mergeCell ref="AF39:AG39"/>
    <mergeCell ref="AI39:AL39"/>
    <mergeCell ref="AC7:AX7"/>
    <mergeCell ref="AC9:AX9"/>
    <mergeCell ref="BZ8:CE11"/>
    <mergeCell ref="BZ4:CE7"/>
    <mergeCell ref="BZ2:CE3"/>
    <mergeCell ref="B2:AW2"/>
    <mergeCell ref="B7:C7"/>
    <mergeCell ref="D7:AA7"/>
    <mergeCell ref="D11:AA11"/>
    <mergeCell ref="AC11:AX11"/>
    <mergeCell ref="B11:C11"/>
    <mergeCell ref="AC35:AV35"/>
    <mergeCell ref="B9:C9"/>
    <mergeCell ref="D9:AA9"/>
    <mergeCell ref="B13:C13"/>
    <mergeCell ref="D13:AA13"/>
    <mergeCell ref="AC13:AV13"/>
    <mergeCell ref="AC17:AX17"/>
    <mergeCell ref="B19:C19"/>
    <mergeCell ref="D19:AA19"/>
    <mergeCell ref="B21:C21"/>
    <mergeCell ref="D21:AA21"/>
    <mergeCell ref="AC21:AV21"/>
    <mergeCell ref="AC19:AV19"/>
    <mergeCell ref="B37:C37"/>
    <mergeCell ref="D37:AA37"/>
    <mergeCell ref="AC37:AV37"/>
    <mergeCell ref="AI15:AL15"/>
    <mergeCell ref="D15:AA15"/>
    <mergeCell ref="B29:C29"/>
    <mergeCell ref="D29:AA29"/>
    <mergeCell ref="AC29:AV29"/>
    <mergeCell ref="B33:C33"/>
    <mergeCell ref="D33:AA33"/>
    <mergeCell ref="AC33:AV33"/>
    <mergeCell ref="B31:C31"/>
    <mergeCell ref="D31:AA31"/>
    <mergeCell ref="AC31:AV31"/>
    <mergeCell ref="B35:C35"/>
    <mergeCell ref="D35:AA35"/>
  </mergeCells>
  <pageMargins left="0.70866141732283472" right="0.70866141732283472" top="0.55118110236220474" bottom="0.39370078740157483" header="0.19685039370078741" footer="0.19685039370078741"/>
  <pageSetup paperSize="9" orientation="portrait" blackAndWhite="1" r:id="rId1"/>
  <ignoredErrors>
    <ignoredError sqref="B7 B9 B11 B13 B15 B17 B19 B21 B23 B25 B27 B29 B31 B33 B35 B37 B39 B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E0CD-EE1A-48FA-8FE9-88F1449D9F48}">
  <dimension ref="B2:CF63"/>
  <sheetViews>
    <sheetView showGridLines="0" showRowColHeaders="0" topLeftCell="B1" workbookViewId="0">
      <selection activeCell="AZ2" sqref="AZ2"/>
    </sheetView>
  </sheetViews>
  <sheetFormatPr defaultRowHeight="15" x14ac:dyDescent="0.25"/>
  <cols>
    <col min="1" max="1" width="3.7109375" style="1" customWidth="1"/>
    <col min="2" max="78" width="1.7109375" style="1" customWidth="1"/>
    <col min="79" max="80" width="9.140625" style="1"/>
    <col min="81" max="81" width="10.140625" style="1" bestFit="1" customWidth="1"/>
    <col min="82" max="83" width="9.140625" style="1"/>
    <col min="84" max="84" width="4.7109375" style="1" customWidth="1"/>
    <col min="85" max="16384" width="9.140625" style="1"/>
  </cols>
  <sheetData>
    <row r="2" spans="2:84" ht="15" customHeight="1" x14ac:dyDescent="0.25">
      <c r="B2" s="120" t="s">
        <v>41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BZ2" s="119" t="s">
        <v>62</v>
      </c>
      <c r="CA2" s="97"/>
      <c r="CB2" s="97"/>
      <c r="CC2" s="97"/>
      <c r="CD2" s="97"/>
      <c r="CE2" s="97"/>
    </row>
    <row r="3" spans="2:84" ht="8.1" customHeight="1" x14ac:dyDescent="0.25">
      <c r="BZ3" s="97"/>
      <c r="CA3" s="97"/>
      <c r="CB3" s="97"/>
      <c r="CC3" s="97"/>
      <c r="CD3" s="97"/>
      <c r="CE3" s="97"/>
    </row>
    <row r="4" spans="2:84" x14ac:dyDescent="0.25">
      <c r="B4" s="138" t="s">
        <v>100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BZ4" s="105" t="s">
        <v>77</v>
      </c>
      <c r="CA4" s="97"/>
      <c r="CB4" s="97"/>
      <c r="CC4" s="97"/>
      <c r="CD4" s="97"/>
      <c r="CE4" s="97"/>
    </row>
    <row r="5" spans="2:84" ht="15" customHeight="1" x14ac:dyDescent="0.25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BZ5" s="97"/>
      <c r="CA5" s="97"/>
      <c r="CB5" s="97"/>
      <c r="CC5" s="97"/>
      <c r="CD5" s="97"/>
      <c r="CE5" s="97"/>
    </row>
    <row r="6" spans="2:84" ht="9.9499999999999993" customHeight="1" x14ac:dyDescent="0.25">
      <c r="BZ6" s="97"/>
      <c r="CA6" s="97"/>
      <c r="CB6" s="97"/>
      <c r="CC6" s="97"/>
      <c r="CD6" s="97"/>
      <c r="CE6" s="97"/>
    </row>
    <row r="7" spans="2:84" ht="15" customHeight="1" x14ac:dyDescent="0.25">
      <c r="B7" s="113" t="s">
        <v>14</v>
      </c>
      <c r="C7" s="135"/>
      <c r="D7" s="71" t="s">
        <v>13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39" t="s">
        <v>0</v>
      </c>
      <c r="AC7" s="71" t="str">
        <f>IF(AND(ISTEXT('Basic Information'!K3),'Basic Information'!W15=TRUE),PROPER('Basic Information'!K3),"")</f>
        <v/>
      </c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94"/>
      <c r="AX7" s="94"/>
      <c r="BZ7" s="97"/>
      <c r="CA7" s="97"/>
      <c r="CB7" s="97"/>
      <c r="CC7" s="97"/>
      <c r="CD7" s="97"/>
      <c r="CE7" s="97"/>
      <c r="CF7" s="27"/>
    </row>
    <row r="8" spans="2:84" ht="5.0999999999999996" customHeight="1" x14ac:dyDescent="0.25">
      <c r="BZ8" s="117" t="s">
        <v>76</v>
      </c>
      <c r="CA8" s="118"/>
      <c r="CB8" s="118"/>
      <c r="CC8" s="118"/>
      <c r="CD8" s="118"/>
      <c r="CE8" s="118"/>
      <c r="CF8" s="27"/>
    </row>
    <row r="9" spans="2:84" ht="15" customHeight="1" x14ac:dyDescent="0.25">
      <c r="B9" s="113" t="s">
        <v>16</v>
      </c>
      <c r="C9" s="135"/>
      <c r="D9" s="71" t="s">
        <v>15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39" t="s">
        <v>0</v>
      </c>
      <c r="AC9" s="71" t="str">
        <f>IF(AND(ISTEXT('Basic Information'!K5),ISNUMBER('Basic Information'!K7),'Basic Information'!W15=TRUE),PROPER('Basic Information'!K5)&amp;" ("&amp;'Basic Information'!K7&amp;")",IF(AND(ISTEXT('Basic Information'!K5),'Basic Information'!W15=TRUE),PROPER('Basic Information'!K5),""))</f>
        <v/>
      </c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94"/>
      <c r="AX9" s="94"/>
      <c r="BZ9" s="118"/>
      <c r="CA9" s="118"/>
      <c r="CB9" s="118"/>
      <c r="CC9" s="118"/>
      <c r="CD9" s="118"/>
      <c r="CE9" s="118"/>
      <c r="CF9" s="27"/>
    </row>
    <row r="10" spans="2:84" ht="5.0999999999999996" customHeight="1" x14ac:dyDescent="0.25">
      <c r="BZ10" s="118"/>
      <c r="CA10" s="118"/>
      <c r="CB10" s="118"/>
      <c r="CC10" s="118"/>
      <c r="CD10" s="118"/>
      <c r="CE10" s="118"/>
    </row>
    <row r="11" spans="2:84" ht="15" customHeight="1" x14ac:dyDescent="0.25">
      <c r="B11" s="113" t="s">
        <v>17</v>
      </c>
      <c r="C11" s="135"/>
      <c r="D11" s="71" t="s">
        <v>42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39" t="s">
        <v>0</v>
      </c>
      <c r="AC11" s="121" t="str">
        <f>IF(AND(ISTEXT('Basic Information'!K9),'Basic Information'!W15=TRUE),PROPER('Basic Information'!K9), " ")</f>
        <v xml:space="preserve"> </v>
      </c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BZ11" s="118"/>
      <c r="CA11" s="118"/>
      <c r="CB11" s="118"/>
      <c r="CC11" s="118"/>
      <c r="CD11" s="118"/>
      <c r="CE11" s="118"/>
    </row>
    <row r="12" spans="2:84" ht="5.0999999999999996" customHeight="1" x14ac:dyDescent="0.25">
      <c r="BZ12" s="129" t="s">
        <v>92</v>
      </c>
      <c r="CA12" s="130"/>
      <c r="CB12" s="130"/>
      <c r="CC12" s="130"/>
      <c r="CD12" s="130"/>
      <c r="CE12" s="130"/>
    </row>
    <row r="13" spans="2:84" x14ac:dyDescent="0.25">
      <c r="B13" s="113" t="s">
        <v>21</v>
      </c>
      <c r="C13" s="135"/>
      <c r="D13" s="71" t="s">
        <v>43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39" t="s">
        <v>0</v>
      </c>
      <c r="AC13" s="71" t="str">
        <f>IF(ISTEXT(AC11),IF(AC11="Assistant Professor - Academic Level 10","10",IF(AC11="Assistant Professor - Academic Level 11","11",IF(AC11="Assistant Professor - Academic Level 12","12",IF(AC11="Associate Professor - Academic Level 13A","13A",IF(AC11="Professor - Academic Level 14","14",""))))),"")</f>
        <v/>
      </c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BZ13" s="130"/>
      <c r="CA13" s="130"/>
      <c r="CB13" s="130"/>
      <c r="CC13" s="130"/>
      <c r="CD13" s="130"/>
      <c r="CE13" s="130"/>
    </row>
    <row r="14" spans="2:84" ht="5.0999999999999996" customHeight="1" x14ac:dyDescent="0.25">
      <c r="BZ14" s="130"/>
      <c r="CA14" s="130"/>
      <c r="CB14" s="130"/>
      <c r="CC14" s="130"/>
      <c r="CD14" s="130"/>
      <c r="CE14" s="130"/>
    </row>
    <row r="15" spans="2:84" x14ac:dyDescent="0.25">
      <c r="B15" s="113" t="s">
        <v>22</v>
      </c>
      <c r="C15" s="135"/>
      <c r="D15" s="71" t="s">
        <v>44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39" t="s">
        <v>0</v>
      </c>
      <c r="AC15" s="134" t="str">
        <f>IF(AND(ISNUMBER('Basic Information'!K11),'Basic Information'!W15=TRUE),'Basic Information'!K11,"")</f>
        <v/>
      </c>
      <c r="AD15" s="103"/>
      <c r="AE15" s="2" t="str">
        <f>IF(AND(ISNUMBER(AC15),ISNUMBER(AF15)),"/","")</f>
        <v/>
      </c>
      <c r="AF15" s="134" t="str">
        <f>IF(AND(ISNUMBER('Basic Information'!N11),'Basic Information'!W15=TRUE),'Basic Information'!N11,"")</f>
        <v/>
      </c>
      <c r="AG15" s="103"/>
      <c r="AH15" s="2" t="str">
        <f>IF(AND(ISNUMBER(AF15),ISNUMBER(AI15)),"/","")</f>
        <v/>
      </c>
      <c r="AI15" s="115" t="str">
        <f>IF(AND(ISNUMBER('Basic Information'!Q11),'Basic Information'!W15=TRUE),'Basic Information'!Q11,"")</f>
        <v/>
      </c>
      <c r="AJ15" s="115"/>
      <c r="AK15" s="115"/>
      <c r="AL15" s="115"/>
      <c r="AM15" s="49"/>
      <c r="AN15" s="49"/>
      <c r="AO15" s="11"/>
      <c r="AP15" s="50"/>
      <c r="AQ15" s="49"/>
      <c r="AR15" s="49"/>
      <c r="AS15" s="49"/>
      <c r="AT15" s="49"/>
      <c r="AU15" s="49"/>
      <c r="AV15" s="49"/>
      <c r="BZ15" s="130"/>
      <c r="CA15" s="130"/>
      <c r="CB15" s="130"/>
      <c r="CC15" s="130"/>
      <c r="CD15" s="130"/>
      <c r="CE15" s="130"/>
    </row>
    <row r="16" spans="2:84" ht="5.0999999999999996" customHeight="1" x14ac:dyDescent="0.25">
      <c r="BZ16" s="130"/>
      <c r="CA16" s="130"/>
      <c r="CB16" s="130"/>
      <c r="CC16" s="130"/>
      <c r="CD16" s="130"/>
      <c r="CE16" s="130"/>
    </row>
    <row r="17" spans="2:84" ht="27.95" customHeight="1" x14ac:dyDescent="0.25">
      <c r="B17" s="113" t="s">
        <v>24</v>
      </c>
      <c r="C17" s="135"/>
      <c r="D17" s="87" t="s">
        <v>45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39" t="s">
        <v>0</v>
      </c>
      <c r="AC17" s="116" t="str">
        <f>IF(ISTEXT(AC13),IF(OR(AC13="10",AC13="11"),"Assistant Professor",IF(AC13="12","Associate Professor",IF(OR(AC13="13A",AC13="14"),"Professor",""))),"")</f>
        <v/>
      </c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BZ17" s="130"/>
      <c r="CA17" s="130"/>
      <c r="CB17" s="130"/>
      <c r="CC17" s="130"/>
      <c r="CD17" s="130"/>
      <c r="CE17" s="130"/>
    </row>
    <row r="18" spans="2:84" ht="5.0999999999999996" customHeight="1" x14ac:dyDescent="0.25"/>
    <row r="19" spans="2:84" x14ac:dyDescent="0.25">
      <c r="B19" s="113" t="s">
        <v>25</v>
      </c>
      <c r="C19" s="135"/>
      <c r="D19" s="71" t="s">
        <v>46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39" t="s">
        <v>0</v>
      </c>
      <c r="AC19" s="71" t="str">
        <f>IF(AND(ISTEXT(AC11),ISNUMBER(AC15),ISNUMBER(AF15),ISNUMBER(AI15)),IF(AC11="Assistant Professor - Academic Level 10","11",IF(AC11="Assistant Professor - Academic Level 11","12",IF(AC11="Assistant Professor - Academic Level 12","13A",IF(AC11="Associate Professor - Academic Level 13A","14",IF(AC11="Professor - Academic Level 14","15",""))))),"")</f>
        <v/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CB19" s="3"/>
      <c r="CC19" s="3"/>
      <c r="CD19" s="3"/>
      <c r="CE19" s="3"/>
      <c r="CF19" s="3"/>
    </row>
    <row r="20" spans="2:84" ht="5.0999999999999996" customHeight="1" x14ac:dyDescent="0.25">
      <c r="CB20" s="3"/>
      <c r="CC20" s="3"/>
      <c r="CD20" s="3"/>
      <c r="CE20" s="3"/>
      <c r="CF20" s="3"/>
    </row>
    <row r="21" spans="2:84" x14ac:dyDescent="0.25">
      <c r="B21" s="113" t="s">
        <v>26</v>
      </c>
      <c r="C21" s="135"/>
      <c r="D21" s="71" t="s">
        <v>47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39" t="s">
        <v>0</v>
      </c>
      <c r="AC21" s="71" t="str">
        <f>IF(AND(ISNUMBER(AC23),ISTEXT(AC13)),IF(AC13="10",CA23,IF(AC13="11",CB23,IF(AC13="12",CC23,IF(AC13="13A",CD23,IF(AC13="14",CE23,""))))),"")</f>
        <v/>
      </c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CB21" s="3"/>
      <c r="CC21" s="3"/>
      <c r="CD21" s="3"/>
      <c r="CE21" s="3"/>
      <c r="CF21" s="3"/>
    </row>
    <row r="22" spans="2:84" ht="5.0999999999999996" customHeight="1" x14ac:dyDescent="0.25">
      <c r="CB22" s="3"/>
      <c r="CC22" s="3"/>
      <c r="CD22" s="3"/>
      <c r="CE22" s="3"/>
      <c r="CF22" s="3"/>
    </row>
    <row r="23" spans="2:84" x14ac:dyDescent="0.25">
      <c r="B23" s="113" t="s">
        <v>27</v>
      </c>
      <c r="C23" s="135"/>
      <c r="D23" s="71" t="s">
        <v>48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39" t="s">
        <v>0</v>
      </c>
      <c r="AC23" s="71" t="str">
        <f>IF(AND(ISNUMBER(AI15),ISNUMBER(AF15),ISNUMBER(AC15)),IF(ISNUMBER('Basic Information'!K13),'Basic Information'!K13,""),"")</f>
        <v/>
      </c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CA23" s="3" t="str">
        <f>IF(AND(ISTEXT(AC13),ISNUMBER(AC23)),IF(AC13="10",IF(AC23&lt;=57700,1,IF(AC23&lt;=59400,2,IF(AC23&lt;=61200,3,IF(AC23&lt;=63000,4,IF(AC23&lt;=64900,5,IF(AC23&lt;=66800,6,IF(AC23&lt;=68800,7,IF(AC23&lt;=70900,8,IF(AC23&lt;=73000,9,IF(AC23&lt;=75200,10,IF(AC23&lt;=77500,11,IF(AC23&lt;=79800,12,IF(AC23&lt;=82200,13,IF(AC23&lt;=84700,14,IF(AC23&lt;=87200,15,IF(AC23&lt;=89800,16,IF(AC23&lt;=92500,17,IF(AC23&lt;=95300,18,IF(AC23&lt;=98200,19,IF(AC23&lt;=101100,20,IF(AC23&lt;=104100,21,IF(AC23&lt;=107200,22,IF(AC23&lt;=110400,23,IF(AC23&lt;=113700,24,IF(AC23&lt;=117100,25,IF(AC23&lt;=120600,26,IF(AC23&lt;=124200,27,IF(AC23&lt;=127900,28,IF(AC23&lt;=131700,29,IF(AC23&lt;=135700,30,IF(AC23&lt;=139800,31,IF(AC23&lt;=144000,32,IF(AC23&lt;=148300,33,IF(AC23&lt;=152700,34,IF(AC23&lt;=157300,35,IF(AC23&lt;=162000,36,IF(AC23&lt;=166900,37,IF(AC23&lt;=171900,38,IF(AC23&lt;=177100,39,IF(AC23&lt;=182400,40,40))))))))))))))))))))))))))))))))))))))))),"")</f>
        <v/>
      </c>
      <c r="CB23" s="3" t="str">
        <f>IF(AND(ISTEXT(AC13),ISNUMBER(AC23)),IF(AC13="11",IF(AC23&lt;=68900,1,IF(AC23&lt;=71000,2,IF(AC23&lt;=73100,3,IF(AC23&lt;=75300,4,IF(AC23&lt;=77600,5,IF(AC23&lt;=79900,6,IF(AC23&lt;=82300,7,IF(AC23&lt;=84800,8,IF(AC23&lt;=87300,9,IF(AC23&lt;=89900,10,IF(AC23&lt;=92600,11,IF(AC23&lt;=95400,12,IF(AC23&lt;=98300,13,IF(AC23&lt;=101200,14,IF(AC23&lt;=104200,15,IF(AC23&lt;=107300,16,IF(AC23&lt;=110500,17,IF(AC23&lt;=113800,18,IF(AC23&lt;=117200,19,IF(AC23&lt;=120700,20,IF(AC23&lt;=124300,21,IF(AC23&lt;=128000,22,IF(AC23&lt;=131800,23,IF(AC23&lt;=135800,24,IF(AC23&lt;=139900,25,IF(AC23&lt;=144100,26,IF(AC23&lt;=148400,27,IF(AC23&lt;=152900,28,IF(AC23&lt;=157500,29,IF(AC23&lt;=162200,30,IF(AC23&lt;=167100,31,IF(AC23&lt;=172100,32,IF(AC23&lt;=177300,33,IF(AC23&lt;=182600,34,IF(AC23&lt;=188100,35,IF(AC23&lt;=193700,36,IF(AC23&lt;=199500,37,IF(AC23&lt;=205500,38,38))))))))))))))))))))))))))))))))))))))),"")</f>
        <v/>
      </c>
      <c r="CC23" s="3" t="str">
        <f>IF(AND(ISTEXT(AC13),ISNUMBER(AC23)),IF(AC13="12",IF(AC23&lt;=79800,1,IF(AC23&lt;=82200,2,IF(AC23&lt;=84700,3,IF(AC23&lt;=87200,4,IF(AC23&lt;=89800,5,IF(AC23&lt;=92500,6,IF(AC23&lt;=95300,7,IF(AC23&lt;=98200,8,IF(AC23&lt;=101100,9,IF(AC23&lt;=104100,10,IF(AC23&lt;=107200,11,IF(AC23&lt;=110400,12,IF(AC23&lt;=113700,13,IF(AC23&lt;=117200,14,IF(AC23&lt;=120600,15,IF(AC23&lt;=124200,16,IF(AC23&lt;=127900,17,IF(AC23&lt;=131700,18,IF(AC23&lt;=135700,19,IF(AC23&lt;=139800,20,IF(AC23&lt;=144000,21,IF(AC23&lt;=148300,22,IF(AC23&lt;=152700,23,IF(AC23&lt;=157300,24,IF(AC23&lt;=162000,25,IF(AC23&lt;=166900,26,IF(AC23&lt;=171900,27,IF(AC23&lt;=177100,28,IF(AC23&lt;=182400,29,IF(AC23&lt;=187900,30,IF(AC23&lt;=193500,31,IF(AC23&lt;=199300,32,IF(AC23&lt;=205300,33,IF(AC23&lt;=211500,34,34))))))))))))))))))))))))))))))))))),"")</f>
        <v/>
      </c>
      <c r="CD23" s="3" t="str">
        <f>IF(AND(ISTEXT(AC13),ISNUMBER(AC23)),IF(AC13="13A",IF(AC23&lt;=131400,1,IF(AC23&lt;=135300,2,IF(AC23&lt;=139400,3,IF(AC23&lt;=143600,4,IF(AC23&lt;=147900,5,IF(AC23&lt;=152300,6,IF(AC23&lt;=156900,7,IF(AC23&lt;=161600,8,IF(AC23&lt;=166400,9,IF(AC23&lt;=171400,10,IF(AC23&lt;=176500,11,IF(AC23&lt;=181800,12,IF(AC23&lt;=187300,13,IF(AC23&lt;=192900,14,IF(AC23&lt;=198700,15,IF(AC23&lt;=204700,16,IF(AC23&lt;=210800,17,IF(AC23&lt;=217100,18,18))))))))))))))))))),"")</f>
        <v/>
      </c>
      <c r="CE23" s="3" t="str">
        <f>IF(AND(ISTEXT(AC13),ISNUMBER(AC23)),IF(AC13="14",IF(AC23&lt;=144200,1,IF(AC23&lt;=148500,2,IF(AC23&lt;=153000,3,IF(AC23&lt;=157600,4,IF(AC23&lt;=162300,5,IF(AC23&lt;=167200,6,IF(AC23&lt;=172200,7,IF(AC23&lt;=177400,8,IF(AC23&lt;=182700,9,IF(AC23&lt;=188200,10,IF(AC23&lt;=193800,11,IF(AC23&lt;=199600,12,IF(AC23&lt;=205600,13,IF(AC23&lt;=211800,14,IF(AC23&lt;=218200,15,15)))))))))))))))),"")</f>
        <v/>
      </c>
      <c r="CF23" s="3"/>
    </row>
    <row r="24" spans="2:84" ht="5.0999999999999996" customHeight="1" x14ac:dyDescent="0.25">
      <c r="CB24" s="3"/>
      <c r="CC24" s="3"/>
      <c r="CD24" s="3"/>
      <c r="CE24" s="3"/>
      <c r="CF24" s="3"/>
    </row>
    <row r="25" spans="2:84" ht="15" customHeight="1" x14ac:dyDescent="0.25">
      <c r="B25" s="113" t="s">
        <v>28</v>
      </c>
      <c r="C25" s="135"/>
      <c r="D25" s="87" t="s">
        <v>75</v>
      </c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39" t="s">
        <v>0</v>
      </c>
      <c r="AC25" s="134" t="str">
        <f>IF(AND(AY25&gt;0,AZ25&gt;0,ISNUMBER('Basic Information'!K15),'Basic Information'!W15=TRUE),'Basic Information'!K15,"")</f>
        <v/>
      </c>
      <c r="AD25" s="134"/>
      <c r="AE25" s="28" t="str">
        <f>IF(AND(ISNUMBER(AC25),ISNUMBER(AF25)),"/","")</f>
        <v/>
      </c>
      <c r="AF25" s="134" t="str">
        <f>IF(AND(AY25&gt;0,AZ25&gt;0,ISNUMBER('Basic Information'!N15),'Basic Information'!W15=TRUE),'Basic Information'!N15,"")</f>
        <v/>
      </c>
      <c r="AG25" s="134"/>
      <c r="AH25" s="28" t="str">
        <f>IF(AND(ISNUMBER(AF25),ISNUMBER(AI25)),"/","")</f>
        <v/>
      </c>
      <c r="AI25" s="134" t="str">
        <f>IF(AND(AY25&gt;0,AZ25&gt;0,ISNUMBER('Basic Information'!Q15),'Basic Information'!W15=TRUE),'Basic Information'!Q15,"")</f>
        <v/>
      </c>
      <c r="AJ25" s="134"/>
      <c r="AK25" s="134"/>
      <c r="AL25" s="134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Y25" s="3">
        <f>IF(AND(ISNUMBER('Basic Information'!K11),ISNUMBER('Basic Information'!N11),ISNUMBER('Basic Information'!Q11)),DATE('Basic Information'!Q11,'Basic Information'!N11,'Basic Information'!K11),0)</f>
        <v>0</v>
      </c>
      <c r="AZ25" s="3">
        <f>IF(AND(ISNUMBER('Basic Information'!K15),ISNUMBER('Basic Information'!N15),ISNUMBER('Basic Information'!Q15)),DATE('Basic Information'!Q15,'Basic Information'!N15,'Basic Information'!K15),0)</f>
        <v>0</v>
      </c>
      <c r="CB25" s="3"/>
      <c r="CC25" s="3"/>
      <c r="CD25" s="3"/>
      <c r="CE25" s="3"/>
      <c r="CF25" s="3"/>
    </row>
    <row r="26" spans="2:84" ht="5.0999999999999996" customHeight="1" x14ac:dyDescent="0.25">
      <c r="CB26" s="3"/>
      <c r="CC26" s="3"/>
      <c r="CD26" s="3"/>
      <c r="CE26" s="3"/>
      <c r="CF26" s="3"/>
    </row>
    <row r="27" spans="2:84" ht="15" customHeight="1" x14ac:dyDescent="0.25">
      <c r="B27" s="113" t="s">
        <v>29</v>
      </c>
      <c r="C27" s="135"/>
      <c r="D27" s="87" t="s">
        <v>73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39" t="s">
        <v>0</v>
      </c>
      <c r="AC27" s="114" t="str">
        <f>IF(AND(ISTEXT(AC19),AY25&gt;0,AZ25&gt;0),IF(AC19="11",CB27,IF(AC19="12",CC27,IF(AC19="13A",CD27,IF(AC19="14",CE27,IF(AC19="15",CF27,""))))),"")</f>
        <v/>
      </c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CB27" s="3" t="str">
        <f>IF(AND(ISNUMBER(AC23),ISTEXT(AC19)),IF(AC19="11",IF(AC23&lt;=68900,68900,IF(AND(AC23&gt;68900,AC23&lt;=71000),71000,IF(AND(AC23&gt;71000,AC23&lt;=73100),73100,IF(AND(AC23&gt;73100,AC23&lt;=75300),75300,IF(AND(AC23&gt;75300,AC23&lt;=77600),77600,IF(AND(AC23&gt;77600,AC23&lt;=79900),79900,IF(AND(AC23&gt;79900,AC23&lt;=82300),82300,IF(AND(AC23&gt;82300,AC23&lt;=84800),84800,IF(AND(AC23&gt;84800,AC23&lt;=87300),87300,IF(AND(AC23&gt;87300,AC23&lt;=89900),89900,IF(AND(AC23&gt;89900,AC23&lt;=92600),92600,IF(AND(AC23&gt;92600,AC23&lt;=95400),95400,IF(AND(AC23&gt;95400,AC23&lt;=98300),98300,IF(AND(AC23&gt;98300,AC23&lt;=101200),101200,IF(AND(AC23&gt;101200,AC23&lt;=104200),104200,IF(AND(AC23&gt;104200,AC23&lt;=107300),107300,IF(AND(AC23&gt;107300,AC23&lt;=110500),110500,IF(AND(AC23&gt;110500,AC23&lt;=113800),113800,IF(AND(AC23&gt;113800,AC23&lt;=117200),117200,IF(AND(AC23&gt;117200,AC23&lt;=120700),120700,IF(AND(AC23&gt;120700,AC23&lt;=124300),124300,IF(AND(AC23&gt;124300,AC23&lt;=128000),128000,IF(AND(AC23&gt;128000,AC23&lt;=131800),131800,IF(AND(AC23&gt;131800,AC23&lt;=135800),135800,IF(AND(AC23&gt;135800,AC23&lt;=139900),139900,IF(AND(AC23&gt;139900,AC23&lt;=144100),144100,IF(AND(AC23&gt;144100,AC23&lt;=148400),148400,IF(AND(AC23&gt;148400,AC23&lt;=152900),152900,IF(AND(AC23&gt;152900,AC23&lt;=157500),157500,IF(AND(AC23&gt;157500,AC23&lt;=162200),162200,IF(AND(AC23&gt;162200,AC23&lt;=167100),167100,IF(AND(AC23&gt;167100,AC23&lt;=172100),172100,IF(AND(AC23&gt;172100,AC23&lt;=177300),177300,IF(AND(AC23&gt;177300,AC23&lt;=182600),182600,IF(AND(AC23&gt;182600,AC23&lt;=188100),188100,IF(AND(AC23&gt;188100,AC23&lt;=193700),193700,IF(AND(AC23&gt;193700,AC23&lt;=199500),199500,IF(AND(AC23&gt;199500,AC23&lt;=205500),205500,205500))))))))))))))))))))))))))))))))))))))),"")</f>
        <v/>
      </c>
      <c r="CC27" s="3" t="str">
        <f>IF(AND(ISNUMBER(AC23),ISTEXT(AC19)),IF(AC19="12",IF(AC23&lt;=79800,79800,IF(AND(AC23&gt;79800,AC23&lt;=82200),82200,IF(AND(AC23&gt;82200,AC23&lt;=84700),84700,IF(AND(AC23&gt;84700,AC23&lt;=87200),87200,IF(AND(AC23&gt;87200,AC23&lt;=89800),89800,IF(AND(AC23&gt;89800,AC23&lt;=92500),92500,IF(AND(AC23&gt;92500,AC23&lt;=95300),95300,IF(AND(AC23&gt;95300,AC23&lt;=98200),98200,IF(AND(AC23&gt;98200,AC23&lt;=101100),101100,IF(AND(AC23&gt;101100,AC23&lt;=104100),104100,IF(AND(AC23&gt;104100,AC23&lt;=107200),107200,IF(AND(AC23&gt;107200,AC23&lt;=110400),110400,IF(AND(AC23&gt;110400,AC23&lt;=113700),113700,IF(AND(AC23&gt;113700,AC23&lt;=117200),117200,IF(AND(AC23&gt;117200,AC23&lt;=120600),120600,IF(AND(AC23&gt;120600,AC23&lt;=124200),124200,IF(AND(AC23&gt;124200,AC23&lt;=127900),127900,IF(AND(AC23&gt;127900,AC23&lt;=131700),131700,IF(AND(AC23&gt;131700,AC23&lt;=135700),135700,IF(AND(AC23&gt;135700,AC23&lt;=139800),139800,IF(AND(AC23&gt;139800,AC23&lt;=144000),144000,IF(AND(AC23&gt;144000,AC23&lt;=148300),148300,IF(AND(AC23&gt;148300,AC23&lt;=152700),152700,IF(AND(AC23&gt;152700,AC23&lt;=157300),157300,IF(AND(AC23&gt;157300,AC23&lt;=162000),162000,IF(AND(AC23&gt;162000,AC23&lt;=166900),166900,IF(AND(AC23&gt;166900,AC23&lt;=171900),171900,IF(AND(AC23&gt;171900,AC23&lt;=177100),177100,IF(AND(AC23&gt;177100,AC23&lt;=182400),182400,IF(AND(AC23&gt;182400,AC23&lt;=187900),187900,IF(AND(AC23&gt;187900,AC23&lt;=193500),193500,IF(AND(AC23&gt;193500,AC23&lt;=199300),199300,IF(AND(AC23&gt;199300,AC23&lt;=205300),205300,IF(AND(AC23&gt;205300,AC23&lt;=211500),211500,211500))))))))))))))))))))))))))))))))))),"")</f>
        <v/>
      </c>
      <c r="CD27" s="3" t="str">
        <f>IF(AND(ISNUMBER(AC23),ISTEXT(AC19)),IF(AC19="13A",IF(AC23&lt;=131400,131400,IF(AND(AC23&gt;131400,AC23&lt;=135300),135300,IF(AND(AC23&gt;135300,AC23&lt;=139400),139400,IF(AND(AC23&gt;139400,AC23&lt;=143600),143600,IF(AND(AC23&gt;143600,AC23&lt;=147900),147900,IF(AND(AC23&gt;147900,AC23&lt;=152300),152300,IF(AND(AC23&gt;152300,AC23&lt;=156900),156900,IF(AND(AC23&gt;156900,AC23&lt;=161600),161600,IF(AND(AC23&gt;161600,AC23&lt;=166400),166400,IF(AND(AC23&gt;166400,AC23&lt;=171400),171400,IF(AND(AC23&gt;171400,AC23&lt;=176500),176500,IF(AND(AC23&gt;176500,AC23&lt;=181800),181800,IF(AND(AC23&gt;181800,AC23&lt;=187300),187300,IF(AND(AC23&gt;187300,AC23&lt;=192900),192900,IF(AND(AC23&gt;192900,AC23&lt;=198700),198700,IF(AND(AC23&gt;198700,AC23&lt;=204700),204700,IF(AND(AC23&gt;204700,AC23&lt;=210800),210800,IF(AND(AC23&gt;210800,AC23&lt;=217100),217100,217100))))))))))))))))))),"")</f>
        <v/>
      </c>
      <c r="CE27" s="3" t="str">
        <f>IF(AND(ISNUMBER(AC23),ISTEXT(AC19)),IF(AC19="14",IF(AC23&lt;=144200,144200,IF(AND(AC23&gt;144200,AC23&lt;=148500),148500,IF(AND(AC23&gt;148500,AC23&lt;=153000),153000,IF(AND(AC23&gt;153000,AC23&lt;=157600),157600,IF(AND(AC23&gt;157600,AC23&lt;=162300),162300,IF(AND(AC23&gt;162300,AC23&lt;=167200),167200,IF(AND(AC23&gt;167200,AC23&lt;=172200),172200,IF(AND(AC23&gt;172200,AC23&lt;=177400),177400,IF(AND(AC23&gt;177400,AC23&lt;=182700),182700,IF(AND(AC23&gt;182700,AC23&lt;=188200),188200,IF(AND(AC23&gt;188200,AC23&lt;=193800),193800,IF(AND(AC23&gt;193800,AC23&lt;=199600),199600,IF(AND(AC23&gt;199600,AC23&lt;=205600),205600,IF(AND(AC23&gt;205600,AC23&lt;=211800),211800,IF(AND(AC23&gt;211800,AC23&lt;=218200),218200,218200)))))))))))))))),"")</f>
        <v/>
      </c>
      <c r="CF27" s="3" t="str">
        <f>IF(AND(ISNUMBER(AC23),ISTEXT(AC19)),IF(AC19="15",IF(AC23&lt;=182200,182200,IF(AND(AC23&gt;182200,AC23&lt;=187700),187700,IF(AND(AC23&gt;187700,AC23&lt;=193300),193300,IF(AND(AC23&gt;193300,AC23&lt;=199100),199100,IF(AND(AC23&gt;199100,AC23&lt;=205100),205100,IF(AND(AC23&gt;205100,AC23&lt;=211300),211300,IF(AND(AC23&gt;211300,AC23&lt;=217600),217600,IF(AND(AC23&gt;217600,AC23&lt;=224100),224100,224100))))))))),"")</f>
        <v/>
      </c>
    </row>
    <row r="28" spans="2:84" ht="5.0999999999999996" customHeight="1" x14ac:dyDescent="0.25">
      <c r="CB28" s="3"/>
      <c r="CC28" s="3"/>
      <c r="CD28" s="3"/>
      <c r="CE28" s="3"/>
      <c r="CF28" s="3"/>
    </row>
    <row r="29" spans="2:84" x14ac:dyDescent="0.25">
      <c r="B29" s="113" t="s">
        <v>30</v>
      </c>
      <c r="C29" s="135"/>
      <c r="D29" s="71" t="s">
        <v>74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39" t="s">
        <v>0</v>
      </c>
      <c r="AC29" s="114" t="str">
        <f>IF(AND(ISNUMBER(AC27),ISTEXT(AC19)),IF(AC19="11",CB29,IF(AC19="12",CC29,IF(AC19="13A",CD29,IF(AC19="14",CE29,IF(AC19="15",CF29,""))))),"")</f>
        <v/>
      </c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CB29" s="3" t="str">
        <f>IF(AND(ISTEXT(AC19),ISNUMBER(AC27)),IF(AC19="11",IF(AC27&lt;=68900,1,IF(AC27&lt;=71000,2,IF(AC27&lt;=73100,3,IF(AC27&lt;=75300,4,IF(AC27&lt;=77600,5,IF(AC27&lt;=79900,6,IF(AC27&lt;=82300,7,IF(AC27&lt;=84800,8,IF(AC27&lt;=87300,9,IF(AC27&lt;=89900,10,IF(AC27&lt;=92600,11,IF(AC27&lt;=95400,12,IF(AC27&lt;=98300,13,IF(AC27&lt;=101200,14,IF(AC27&lt;=104200,15,IF(AC27&lt;=107300,16,IF(AC27&lt;=110500,17,IF(AC27&lt;=113800,18,IF(AC27&lt;=117200,19,IF(AC27&lt;=120700,20,IF(AC27&lt;=124300,21,IF(AC27&lt;=128000,22,IF(AC27&lt;=131800,23,IF(AC27&lt;=135800,24,IF(AC27&lt;=139900,25,IF(AC27&lt;=144100,26,IF(AC27&lt;=148400,27,IF(AC27&lt;=152900,28,IF(AC27&lt;=157500,29,IF(AC27&lt;=162200,30,IF(AC27&lt;=167100,31,IF(AC27&lt;=172100,32,IF(AC27&lt;=177300,33,IF(AC27&lt;=182600,34,IF(AC27&lt;=188100,35,IF(AC27&lt;=193700,36,IF(AC27&lt;=199500,37,IF(AC27&lt;=205500,38,38))))))))))))))))))))))))))))))))))))))),"")</f>
        <v/>
      </c>
      <c r="CC29" s="3" t="str">
        <f>IF(AND(ISTEXT(AC19),ISNUMBER(AC27)),IF(AC19="12",IF(AC27&lt;=79800,1,IF(AC27&lt;=82200,2,IF(AC27&lt;=84700,3,IF(AC27&lt;=87200,4,IF(AC27&lt;=89800,5,IF(AC27&lt;=92500,6,IF(AC27&lt;=95300,7,IF(AC27&lt;=98200,8,IF(AC27&lt;=101100,9,IF(AC27&lt;=104100,10,IF(AC27&lt;=107200,11,IF(AC27&lt;=110400,12,IF(AC27&lt;=113700,13,IF(AC27&lt;=117200,14,IF(AC27&lt;=120600,15,IF(AC27&lt;=124200,16,IF(AC27&lt;=127900,17,IF(AC27&lt;=131700,18,IF(AC27&lt;=135700,19,IF(AC27&lt;=139800,20,IF(AC27&lt;=144000,21,IF(AC27&lt;=148300,22,IF(AC27&lt;=152700,23,IF(AC27&lt;=157300,24,IF(AC27&lt;=162000,25,IF(AC27&lt;=166900,26,IF(AC27&lt;=171900,27,IF(AC27&lt;=177100,28,IF(AC27&lt;=182400,29,IF(AC27&lt;=187900,30,IF(AC27&lt;=193500,31,IF(AC27&lt;=199300,32,IF(AC27&lt;=205300,33,IF(AC27&lt;=211500,34,34))))))))))))))))))))))))))))))))))),"")</f>
        <v/>
      </c>
      <c r="CD29" s="3" t="str">
        <f>IF(AND(ISTEXT(AC19),ISNUMBER(AC27)),IF(AC19="13A",IF(AC27&lt;=131400,1,IF(AC27&lt;=135300,2,IF(AC27&lt;=139400,3,IF(AC27&lt;=143600,4,IF(AC27&lt;=147900,5,IF(AC27&lt;=152300,6,IF(AC27&lt;=156900,7,IF(AC27&lt;=161600,8,IF(AC27&lt;=166400,9,IF(AC27&lt;=171400,10,IF(AC27&lt;=176500,11,IF(AC27&lt;=181800,12,IF(AC27&lt;=187300,13,IF(AC27&lt;=192900,14,IF(AC27&lt;=198700,15,IF(AC27&lt;=204700,16,IF(AC27&lt;=210800,17,IF(AC27&lt;=217100,18,18))))))))))))))))))),"")</f>
        <v/>
      </c>
      <c r="CE29" s="3" t="str">
        <f>IF(AND(ISTEXT(AC19),ISNUMBER(AC27)),IF(AC19="14",IF(AC27&lt;=144200,1,IF(AC27&lt;=148500,2,IF(AC27&lt;=153000,3,IF(AC27&lt;=157600,4,IF(AC27&lt;=162300,5,IF(AC27&lt;=167200,6,IF(AC27&lt;=172200,7,IF(AC27&lt;=177400,8,IF(AC27&lt;=182700,9,IF(AC27&lt;=188200,10,IF(AC27&lt;=193800,11,IF(AC27&lt;=199600,12,IF(AC27&lt;=205600,13,IF(AC27&lt;=211800,14,IF(AC27&lt;=218200,15,15)))))))))))))))),"")</f>
        <v/>
      </c>
      <c r="CF29" s="3" t="str">
        <f>IF(AND(ISTEXT(AC19),ISNUMBER(AC27)),IF(AC19="15",IF(AC27&lt;=182200,1,IF(AC27&lt;=187700,2,IF(AC27&lt;=193300,3,IF(AC27&lt;=199100,4,IF(AC27&lt;=205100,5,IF(AC27&lt;=211300,6,IF(AC27&lt;=217600,7,IF(AC27&lt;=224100,8,8))))))))),"")</f>
        <v/>
      </c>
    </row>
    <row r="30" spans="2:84" ht="5.0999999999999996" customHeight="1" x14ac:dyDescent="0.25"/>
    <row r="31" spans="2:84" ht="70.5" customHeight="1" x14ac:dyDescent="0.25">
      <c r="B31" s="113" t="s">
        <v>31</v>
      </c>
      <c r="C31" s="135"/>
      <c r="D31" s="87" t="s">
        <v>102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39" t="s">
        <v>0</v>
      </c>
      <c r="AC31" s="71" t="str">
        <f>IF(AND(AY25&gt;0,AZ25&gt;0,ISNUMBER(AC23)),MROUND(MROUND(AC23*1.03,100)*1.03,100),"")</f>
        <v/>
      </c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</row>
    <row r="32" spans="2:84" ht="2.25" customHeight="1" x14ac:dyDescent="0.25"/>
    <row r="33" spans="2:84" x14ac:dyDescent="0.25">
      <c r="B33" s="113" t="s">
        <v>32</v>
      </c>
      <c r="C33" s="135"/>
      <c r="D33" s="71" t="s">
        <v>50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39" t="s">
        <v>0</v>
      </c>
      <c r="AC33" s="114" t="str">
        <f>IF(AND(ISNUMBER(AC31),ISTEXT(AC19)),AC19,"")</f>
        <v/>
      </c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</row>
    <row r="34" spans="2:84" ht="2.25" customHeight="1" x14ac:dyDescent="0.25"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2:84" ht="40.5" customHeight="1" x14ac:dyDescent="0.25">
      <c r="B35" s="113" t="s">
        <v>36</v>
      </c>
      <c r="C35" s="135"/>
      <c r="D35" s="87" t="s">
        <v>79</v>
      </c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39" t="s">
        <v>0</v>
      </c>
      <c r="AC35" s="114" t="str">
        <f>IF(AND(ISNUMBER(AC31),ISTEXT(AC33)),IF(AC33="11",CB35,IF(AC33="12",CC35,IF(AC33="13A",CD35,IF(AC33="14",CE35,IF(AC33="15",CF35,""))))),"")</f>
        <v/>
      </c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CB35" s="3" t="str">
        <f>IF(AND(ISTEXT(AC33),ISNUMBER(AC31)),IF(AC33="11",IF(AC31&lt;=68900,1,IF(AC31&lt;=71000,2,IF(AC31&lt;=73100,3,IF(AC31&lt;=75300,4,IF(AC31&lt;=77600,5,IF(AC31&lt;=79900,6,IF(AC31&lt;=82300,7,IF(AC31&lt;=84800,8,IF(AC31&lt;=87300,9,IF(AC31&lt;=89900,10,IF(AC31&lt;=92600,11,IF(AC31&lt;=95400,12,IF(AC31&lt;=98300,13,IF(AC31&lt;=101200,14,IF(AC31&lt;=104200,15,IF(AC31&lt;=107300,16,IF(AC31&lt;=110500,17,IF(AC31&lt;=113800,18,IF(AC31&lt;=117200,19,IF(AC31&lt;=120700,20,IF(AC31&lt;=124300,21,IF(AC31&lt;=128000,22,IF(AC31&lt;=131800,23,IF(AC31&lt;=135800,24,IF(AC31&lt;=139900,25,IF(AC31&lt;=144100,26,IF(AC31&lt;=148400,27,IF(AC31&lt;=152900,28,IF(AC31&lt;=157500,29,IF(AC31&lt;=162200,30,IF(AC31&lt;=167100,31,IF(AC31&lt;=172100,32,IF(AC31&lt;=177300,33,IF(AC31&lt;=182600,34,IF(AC31&lt;=188100,35,IF(AC31&lt;=193700,36,IF(AC31&lt;=199500,37,IF(AC31&lt;=205500,38,38))))))))))))))))))))))))))))))))))))))),"")</f>
        <v/>
      </c>
      <c r="CC35" s="3" t="str">
        <f>IF(AND(ISTEXT(AC33),ISNUMBER(AC31)),IF(AC33="12",IF(AC31&lt;=79800,1,IF(AC31&lt;=82200,2,IF(AC31&lt;=84700,3,IF(AC31&lt;=87200,4,IF(AC31&lt;=89800,5,IF(AC31&lt;=92500,6,IF(AC31&lt;=95300,7,IF(AC31&lt;=98200,8,IF(AC31&lt;=101100,9,IF(AC31&lt;=104100,10,IF(AC31&lt;=107200,11,IF(AC31&lt;=110400,12,IF(AC31&lt;=113700,13,IF(AC31&lt;=117200,14,IF(AC31&lt;=120600,15,IF(AC31&lt;=124200,16,IF(AC31&lt;=127900,17,IF(AC31&lt;=131700,18,IF(AC31&lt;=135700,19,IF(AC31&lt;=139800,20,IF(AC31&lt;=144000,21,IF(AC31&lt;=148300,22,IF(AC31&lt;=152700,23,IF(AC31&lt;=157300,24,IF(AC31&lt;=162000,25,IF(AC31&lt;=166900,26,IF(AC31&lt;=171900,27,IF(AC31&lt;=177100,28,IF(AC31&lt;=182400,29,IF(AC31&lt;=187900,30,IF(AC31&lt;=193500,31,IF(AC31&lt;=199300,32,IF(AC31&lt;=205300,33,IF(AC31&lt;=211500,34,34))))))))))))))))))))))))))))))))))),"")</f>
        <v/>
      </c>
      <c r="CD35" s="3" t="str">
        <f>IF(AND(ISTEXT(AC33),ISNUMBER(AC31)),IF(AC33="13A",IF(AC31&lt;=131400,1,IF(AC31&lt;=135300,2,IF(AC31&lt;=139400,3,IF(AC31&lt;=143600,4,IF(AC31&lt;=147900,5,IF(AC31&lt;=152300,6,IF(AC31&lt;=156900,7,IF(AC31&lt;=161600,8,IF(AC31&lt;=166400,9,IF(AC31&lt;=171400,10,IF(AC31&lt;=176500,11,IF(AC31&lt;=181800,12,IF(AC31&lt;=187300,13,IF(AC31&lt;=192900,14,IF(AC31&lt;=198700,15,IF(AC31&lt;=204700,16,IF(AC31&lt;=210800,17,IF(AC31&lt;=217100,18,18))))))))))))))))))),"")</f>
        <v/>
      </c>
      <c r="CE35" s="3" t="str">
        <f>IF(AND(ISTEXT(AC33),ISNUMBER(AC31)),IF(AC33="14",IF(AC31&lt;=144200,1,IF(AC31&lt;=148500,2,IF(AC31&lt;=153000,3,IF(AC31&lt;=157600,4,IF(AC31&lt;=162300,5,IF(AC31&lt;=167200,6,IF(AC31&lt;=172200,7,IF(AC31&lt;=177400,8,IF(AC31&lt;=182700,9,IF(AC31&lt;=188200,10,IF(AC31&lt;=193800,11,IF(AC31&lt;=199600,12,IF(AC31&lt;=205600,13,IF(AC31&lt;=211800,14,IF(AC31&lt;=218200,15,15)))))))))))))))),"")</f>
        <v/>
      </c>
      <c r="CF35" s="3" t="str">
        <f>IF(AND(ISTEXT(AC33),ISNUMBER(AC31)),IF(AC33="15",IF(AC31&lt;=182200,1,IF(AC31&lt;=187700,2,IF(AC31&lt;=193300,3,IF(AC31&lt;=199100,4,IF(AC31&lt;=205100,5,IF(AC31&lt;=211300,6,IF(AC31&lt;=217600,7,IF(AC31&lt;=224100,8,8))))))))),"")</f>
        <v/>
      </c>
    </row>
    <row r="36" spans="2:84" ht="5.0999999999999996" customHeight="1" x14ac:dyDescent="0.25"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CB36" s="3"/>
      <c r="CC36" s="3"/>
      <c r="CD36" s="3"/>
      <c r="CE36" s="3"/>
    </row>
    <row r="37" spans="2:84" ht="16.5" customHeight="1" x14ac:dyDescent="0.25">
      <c r="B37" s="113" t="s">
        <v>54</v>
      </c>
      <c r="C37" s="135"/>
      <c r="D37" s="71" t="s">
        <v>80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39" t="s">
        <v>0</v>
      </c>
      <c r="AC37" s="114" t="str">
        <f>IF(ISTEXT(AC19),IF(AC19="11",CB37,IF(AC19="12",CC37,IF(AC19="13A",CD37,IF(AC19="14",CE37,IF(AC19="15",CF37,""))))),"")</f>
        <v/>
      </c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CB37" s="3" t="str">
        <f>IF(AND(ISNUMBER(AC31),ISTEXT(AC33)),IF(AC33="11",IF(AC31&lt;=68900,68900,IF(AND(AC31&gt;68900,AC31&lt;=71000),71000,IF(AND(AC31&gt;71000,AC31&lt;=73100),73100,IF(AND(AC31&gt;73100,AC31&lt;=75300),75300,IF(AND(AC31&gt;75300,AC31&lt;=77600),77600,IF(AND(AC31&gt;77600,AC31&lt;=79900),79900,IF(AND(AC31&gt;79900,AC31&lt;=82300),82300,IF(AND(AC31&gt;82300,AC31&lt;=84800),84800,IF(AND(AC31&gt;84800,AC31&lt;=87300),87300,IF(AND(AC31&gt;87300,AC31&lt;=89900),89900,IF(AND(AC31&gt;89900,AC31&lt;=92600),92600,IF(AND(AC31&gt;92600,AC31&lt;=95400),95400,IF(AND(AC31&gt;95400,AC31&lt;=98300),98300,IF(AND(AC31&gt;98300,AC31&lt;=101200),101200,IF(AND(AC31&gt;101200,AC31&lt;=104200),104200,IF(AND(AC31&gt;104200,AC31&lt;=107300),107300,IF(AND(AC31&gt;107300,AC31&lt;=110500),110500,IF(AND(AC31&gt;110500,AC31&lt;=113800),113800,IF(AND(AC31&gt;113800,AC31&lt;=117200),117200,IF(AND(AC31&gt;117200,AC31&lt;=120700),120700,IF(AND(AC31&gt;120700,AC31&lt;=124300),124300,IF(AND(AC31&gt;124300,AC31&lt;=128000),128000,IF(AND(AC31&gt;128000,AC31&lt;=131800),131800,IF(AND(AC31&gt;131800,AC31&lt;=135800),135800,IF(AND(AC31&gt;135800,AC31&lt;=139900),139900,IF(AND(AC31&gt;139900,AC31&lt;=144100),144100,IF(AND(AC31&gt;144100,AC31&lt;=148400),148400,IF(AND(AC31&gt;148400,AC31&lt;=152900),152900,IF(AND(AC31&gt;152900,AC31&lt;=157500),157500,IF(AND(AC31&gt;157500,AC31&lt;=162200),162200,IF(AND(AC31&gt;162200,AC31&lt;=167100),167100,IF(AND(AC31&gt;167100,AC31&lt;=172100),172100,IF(AND(AC31&gt;172100,AC31&lt;=177300),177300,IF(AND(AC31&gt;177300,AC31&lt;=182600),182600,IF(AND(AC31&gt;182600,AC31&lt;=188100),188100,IF(AND(AC31&gt;188100,AC31&lt;=193700),193700,IF(AND(AC31&gt;193700,AC31&lt;=199500),199500,IF(AND(AC31&gt;199500,AC31&lt;=205500),205500,205500))))))))))))))))))))))))))))))))))))))),"")</f>
        <v/>
      </c>
      <c r="CC37" s="3" t="str">
        <f>IF(AND(ISNUMBER(AC31),ISTEXT(AC33)),IF(AC33="12",IF(AC31&lt;=79800,79800,IF(AND(AC31&gt;79800,AC31&lt;=82200),82200,IF(AND(AC31&gt;82200,AC31&lt;=84700),84700,IF(AND(AC31&gt;84700,AC31&lt;=87200),87200,IF(AND(AC31&gt;87200,AC31&lt;=89800),89800,IF(AND(AC31&gt;89800,AC31&lt;=92500),92500,IF(AND(AC31&gt;92500,AC31&lt;=95300),95300,IF(AND(AC31&gt;95300,AC31&lt;=98200),98200,IF(AND(AC31&gt;98200,AC31&lt;=101100),101100,IF(AND(AC31&gt;101100,AC31&lt;=104100),104100,IF(AND(AC31&gt;104100,AC31&lt;=107200),107200,IF(AND(AC31&gt;107200,AC31&lt;=110400),110400,IF(AND(AC31&gt;110400,AC31&lt;=113700),113700,IF(AND(AC31&gt;113700,AC31&lt;=117200),117200,IF(AND(AC31&gt;117200,AC31&lt;=120600),120600,IF(AND(AC31&gt;120600,AC31&lt;=124200),124200,IF(AND(AC31&gt;124200,AC31&lt;=127900),127900,IF(AND(AC31&gt;127900,AC31&lt;=131700),131700,IF(AND(AC31&gt;131700,AC31&lt;=135700),135700,IF(AND(AC31&gt;135700,AC31&lt;=139800),139800,IF(AND(AC31&gt;139800,AC31&lt;=144000),144000,IF(AND(AC31&gt;144000,AC31&lt;=148300),148300,IF(AND(AC31&gt;148300,AC31&lt;=152700),152700,IF(AND(AC31&gt;152700,AC31&lt;=157300),157300,IF(AND(AC31&gt;157300,AC31&lt;=162000),162000,IF(AND(AC31&gt;162000,AC31&lt;=166900),166900,IF(AND(AC31&gt;166900,AC31&lt;=171900),171900,IF(AND(AC31&gt;171900,AC31&lt;=177100),177100,IF(AND(AC31&gt;177100,AC31&lt;=182400),182400,IF(AND(AC31&gt;182400,AC31&lt;=187900),187900,IF(AND(AC31&gt;187900,AC31&lt;=193500),193500,IF(AND(AC31&gt;193500,AC31&lt;=199300),199300,IF(AND(AC31&gt;199300,AC31&lt;=205300),205300,IF(AND(AC31&gt;205300,AC31&lt;=211500),211500,211500))))))))))))))))))))))))))))))))))),"")</f>
        <v/>
      </c>
      <c r="CD37" s="3" t="str">
        <f>IF(AND(ISNUMBER(AC31),ISTEXT(AC33)),IF(AC33="13A",IF(AC31&lt;=131400,131400,IF(AND(AC31&gt;131400,AC31&lt;=135300),135300,IF(AND(AC31&gt;135300,AC31&lt;=139400),139400,IF(AND(AC31&gt;139400,AC31&lt;=143600),143600,IF(AND(AC31&gt;143600,AC31&lt;=147900),147900,IF(AND(AC31&gt;147900,AC31&lt;=152300),152300,IF(AND(AC31&gt;152300,AC31&lt;=156900),156900,IF(AND(AC31&gt;156900,AC31&lt;=161600),161600,IF(AND(AC31&gt;161600,AC31&lt;=166400),166400,IF(AND(AC31&gt;166400,AC31&lt;=171400),171400,IF(AND(AC31&gt;171400,AC31&lt;=176500),176500,IF(AND(AC31&gt;176500,AC31&lt;=181800),181800,IF(AND(AC31&gt;181800,AC31&lt;=187300),187300,IF(AND(AC31&gt;187300,AC31&lt;=192900),192900,IF(AND(AC31&gt;192900,AC31&lt;=198700),198700,IF(AND(AC31&gt;198700,AC31&lt;=204700),204700,IF(AND(AC31&gt;204700,AC31&lt;=210800),210800,IF(AND(AC31&gt;210800,AC31&lt;=217100),217100,217100))))))))))))))))))),"")</f>
        <v/>
      </c>
      <c r="CE37" s="3" t="str">
        <f>IF(AND(ISNUMBER(AC31),ISTEXT(AC33)),IF(AC33="14",IF(AC31&lt;=144200,144200,IF(AND(AC31&gt;144200,AC31&lt;=148500),148500,IF(AND(AC31&gt;148500,AC31&lt;=153000),153000,IF(AND(AC31&gt;153000,AC31&lt;=157600),157600,IF(AND(AC31&gt;157600,AC31&lt;=162300),162300,IF(AND(AC31&gt;162300,AC31&lt;=167200),167200,IF(AND(AC31&gt;167200,AC31&lt;=172200),172200,IF(AND(AC31&gt;172200,AC31&lt;=177400),177400,IF(AND(AC31&gt;177400,AC31&lt;=182700),182700,IF(AND(AC31&gt;182700,AC31&lt;=188200),188200,IF(AND(AC31&gt;188200,AC31&lt;=193800),193800,IF(AND(AC31&gt;193800,AC31&lt;=199600),199600,IF(AND(AC31&gt;199600,AC31&lt;=205600),205600,IF(AND(AC31&gt;205600,AC31&lt;=211800),211800,IF(AND(AC31&gt;211800,AC31&lt;=218200),218200,218200)))))))))))))))),"")</f>
        <v/>
      </c>
      <c r="CF37" s="3" t="str">
        <f>IF(AND(ISNUMBER(AC31),ISTEXT(AC33)),IF(AC33="15",IF(AC31&lt;=182200,182200,IF(AND(AC31&gt;182200,AC31&lt;=187700),187700,IF(AND(AC31&gt;187700,AC31&lt;=193300),193300,IF(AND(AC31&gt;193300,AC31&lt;=199100),199100,IF(AND(AC31&gt;199100,AC31&lt;=205100),205100,IF(AND(AC31&gt;205100,AC31&lt;=211300),211300,IF(AND(AC31&gt;211300,AC31&lt;=217600),217600,IF(AND(AC31&gt;217600,AC31&lt;=224100),224100,224100))))))))),"")</f>
        <v/>
      </c>
    </row>
    <row r="38" spans="2:84" ht="2.25" customHeight="1" x14ac:dyDescent="0.25"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2:84" ht="30" customHeight="1" x14ac:dyDescent="0.25">
      <c r="B39" s="113" t="s">
        <v>82</v>
      </c>
      <c r="C39" s="135"/>
      <c r="D39" s="87" t="s">
        <v>81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39" t="s">
        <v>0</v>
      </c>
      <c r="AC39" s="114" t="str">
        <f>IF(ISBLANK(AC37),"",AC37)</f>
        <v/>
      </c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CA39" s="3">
        <f>IF(AND(ISNUMBER(AI25),ISNUMBER(AF25),ISNUMBER(AC25)),IF(AND(DATE(AI25,1,2)&lt;=DATE(AI25,AF25,AC25),DATE(AI25,AF25,AC25)&lt;=DATE(AI25,7,1)),DATE(AI25+1,1,1),IF(AND(DATE(AI25,7,2)&lt;=DATE(AI25,AF25,AC25),DATE(AI25,AF25,AC25)&lt;=DATE(AI25+1,1,1)),DATE(AI25+1,7,1),DATE(AI25,7,1))),)</f>
        <v>0</v>
      </c>
      <c r="CB39" s="3">
        <f>IF(AND(ISNUMBER('Basic Information'!Q27),ISNUMBER('Basic Information'!N27),ISNUMBER('Basic Information'!K27)),DATE('Basic Information'!Q27,'Basic Information'!N27,'Basic Information'!K27),)</f>
        <v>0</v>
      </c>
    </row>
    <row r="40" spans="2:84" ht="5.0999999999999996" customHeight="1" x14ac:dyDescent="0.25">
      <c r="CA40" s="3"/>
      <c r="CB40" s="3"/>
      <c r="CC40" s="3"/>
      <c r="CD40" s="3"/>
      <c r="CE40" s="3"/>
    </row>
    <row r="41" spans="2:84" x14ac:dyDescent="0.25">
      <c r="B41" s="113" t="s">
        <v>83</v>
      </c>
      <c r="C41" s="135"/>
      <c r="D41" s="71" t="s">
        <v>85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39" t="s">
        <v>0</v>
      </c>
      <c r="AC41" s="114" t="str">
        <f>IF(AND(ISNUMBER('Basic Information'!K17),ISNUMBER(AC39)), 'Basic Information'!K17,IF(ISNUMBER(AC39),"NA",""))</f>
        <v/>
      </c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CB41" s="3"/>
      <c r="CC41" s="3"/>
      <c r="CD41" s="3"/>
      <c r="CE41" s="3"/>
      <c r="CF41" s="3"/>
    </row>
    <row r="42" spans="2:84" ht="5.0999999999999996" customHeight="1" x14ac:dyDescent="0.25">
      <c r="CA42" s="3"/>
      <c r="CB42" s="3"/>
      <c r="CC42" s="3"/>
      <c r="CD42" s="3"/>
      <c r="CE42" s="3"/>
    </row>
    <row r="43" spans="2:84" x14ac:dyDescent="0.25">
      <c r="B43" s="113" t="s">
        <v>84</v>
      </c>
      <c r="C43" s="135"/>
      <c r="D43" s="71" t="s">
        <v>86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39" t="s">
        <v>0</v>
      </c>
      <c r="AC43" s="114" t="str">
        <f>IF(AND(ISNUMBER('Basic Information'!K19),ISNUMBER(AC39)), 'Basic Information'!K19,IF(ISNUMBER(AC39),"NA",""))</f>
        <v/>
      </c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CB43" s="3"/>
      <c r="CC43" s="3"/>
      <c r="CD43" s="3"/>
      <c r="CE43" s="3"/>
      <c r="CF43" s="3"/>
    </row>
    <row r="44" spans="2:84" ht="5.0999999999999996" customHeight="1" x14ac:dyDescent="0.25">
      <c r="CA44" s="3"/>
      <c r="CB44" s="3"/>
      <c r="CC44" s="3"/>
      <c r="CD44" s="3"/>
      <c r="CE44" s="3"/>
    </row>
    <row r="45" spans="2:84" x14ac:dyDescent="0.25">
      <c r="B45" s="113" t="s">
        <v>88</v>
      </c>
      <c r="C45" s="113"/>
      <c r="D45" s="71" t="s">
        <v>33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39" t="s">
        <v>0</v>
      </c>
      <c r="AC45" s="120" t="str">
        <f>IF(AND(CA39&lt;&gt;0,CB39&lt;&gt;0,ISNUMBER(AC39)),DAY(CA39),"")</f>
        <v/>
      </c>
      <c r="AD45" s="120"/>
      <c r="AE45" s="38" t="str">
        <f>IF(AND(ISNUMBER(AC45),ISNUMBER(AF45)),"/","")</f>
        <v/>
      </c>
      <c r="AF45" s="120" t="str">
        <f>IF(AND(CA39&lt;&gt;0,CB39&lt;&gt;0,ISNUMBER(AC39)),MONTH(CA39),"")</f>
        <v/>
      </c>
      <c r="AG45" s="120"/>
      <c r="AH45" s="38" t="str">
        <f>IF(AND(ISNUMBER(AF45),ISNUMBER(AI45)),"/","")</f>
        <v/>
      </c>
      <c r="AI45" s="122" t="str">
        <f>IF(AND(CA39&lt;&gt;0,CB39&lt;&gt;0,ISNUMBER(AC39)),YEAR(CA39),"")</f>
        <v/>
      </c>
      <c r="AJ45" s="122"/>
      <c r="AK45" s="122"/>
      <c r="AL45" s="122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CA45" s="3"/>
      <c r="CB45" s="3"/>
      <c r="CC45" s="3"/>
      <c r="CD45" s="3"/>
      <c r="CE45" s="3"/>
    </row>
    <row r="46" spans="2:84" ht="5.0999999999999996" customHeight="1" x14ac:dyDescent="0.25"/>
    <row r="47" spans="2:84" x14ac:dyDescent="0.25">
      <c r="D47" s="123" t="s">
        <v>34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23" t="s">
        <v>35</v>
      </c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</row>
    <row r="48" spans="2:84" x14ac:dyDescent="0.25">
      <c r="D48" s="5"/>
      <c r="E48" s="124" t="str">
        <f>IF(AND(CA39&lt;&gt;0,CB39&lt;&gt;0,CA39&lt;CB39,ISNUMBER(AC39)),DAY(CA39),"")</f>
        <v/>
      </c>
      <c r="F48" s="124"/>
      <c r="G48" s="14" t="str">
        <f t="shared" ref="G48:G53" si="0">IF(AND(ISNUMBER(E48),ISNUMBER(H48)),"/","")</f>
        <v/>
      </c>
      <c r="H48" s="124" t="str">
        <f>IF(AND(CA39&lt;&gt;0,CB39&lt;&gt;0,CA39&lt;CB39,ISNUMBER(AC39)),MONTH(CA39),"")</f>
        <v/>
      </c>
      <c r="I48" s="124"/>
      <c r="J48" s="38" t="str">
        <f t="shared" ref="J48:J53" si="1">IF(AND(ISNUMBER(H48),ISNUMBER(K48)),"/","")</f>
        <v/>
      </c>
      <c r="K48" s="124" t="str">
        <f>IF(AND(CA39&lt;&gt;0,CB39&lt;&gt;0,CA39&lt;CB39,ISNUMBER(AC39)),YEAR(CA39),"")</f>
        <v/>
      </c>
      <c r="L48" s="124"/>
      <c r="M48" s="124"/>
      <c r="N48" s="51"/>
      <c r="O48" s="52"/>
      <c r="P48" s="125" t="str">
        <f>IF(AND(CA39&lt;&gt;0,CB39&lt;&gt;0,CA39&lt;CB39),IF(AC33="11",IF(MROUND(AC39*1.03,100)&lt;=205500,MROUND(AC39*1.03,100),205500),IF(AC33="12",IF(MROUND(AC39*1.03,100)&lt;=211500,MROUND(AC39*1.03,100),211500),IF(AC33="13A",IF(MROUND(AC39*1.03,100)&lt;=217100,MROUND(AC39*1.03,100),217100),IF(AC33="14",IF(MROUND(AC39*1.03,100)&lt;=218200,MROUND(AC39*1.03,100),218200),IF(AC33="15",IF(MROUND(AC39*1.03,100)&lt;=224100,MROUND(AC39*1.03,100),224100),""))))),"")</f>
        <v/>
      </c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W48" s="3"/>
      <c r="CA48" s="3"/>
    </row>
    <row r="49" spans="2:50" x14ac:dyDescent="0.25">
      <c r="D49" s="5"/>
      <c r="E49" s="124" t="str">
        <f>IF(ISNUMBER(K48),IF(DATE(K48+1,H48,E48)&lt;=CB39,E48,""),"")</f>
        <v/>
      </c>
      <c r="F49" s="124"/>
      <c r="G49" s="17" t="str">
        <f t="shared" si="0"/>
        <v/>
      </c>
      <c r="H49" s="124" t="str">
        <f>IF(ISNUMBER(K48),IF(DATE(K48+1,H48,E48)&lt;=CB39,H48,""),"")</f>
        <v/>
      </c>
      <c r="I49" s="124"/>
      <c r="J49" s="17" t="str">
        <f t="shared" si="1"/>
        <v/>
      </c>
      <c r="K49" s="124" t="str">
        <f>IF(ISNUMBER(K48),IF(DATE(K48+1,H48,E48)&lt;=CB39,K48+1,""),"")</f>
        <v/>
      </c>
      <c r="L49" s="124"/>
      <c r="M49" s="124"/>
      <c r="N49" s="51"/>
      <c r="O49" s="52"/>
      <c r="P49" s="125" t="str">
        <f>IF(ISNUMBER(K48),IF(DATE(K48+1,H48,E48)&lt;=CB39,IF(AC33="11",IF(MROUND(P48*1.03,100)&lt;=205500,MROUND(P48*1.03,100),205500),IF(AC33="12",IF(MROUND(P48*1.03,100)&lt;=211500,MROUND(P48*1.03,100),211500),IF(AC33="13A",IF(MROUND(P48*1.03,100)&lt;=217100,MROUND(P48*1.03,100),217100),IF(AC33="14",IF(MROUND(P48*1.03,100)&lt;=218200,MROUND(P48*1.03,100),218200),IF(AC33="15",IF(MROUND(P48*1.03,100)&lt;=224100,MROUND(P48*1.03,100),224100),""))))),""),"")</f>
        <v/>
      </c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W49" s="3"/>
    </row>
    <row r="50" spans="2:50" x14ac:dyDescent="0.25">
      <c r="D50" s="5"/>
      <c r="E50" s="124" t="str">
        <f>IF(ISNUMBER(K49),IF(DATE(K49+1,H49,E49)&lt;=CB39,E49,""),"")</f>
        <v/>
      </c>
      <c r="F50" s="124"/>
      <c r="G50" s="15" t="str">
        <f t="shared" si="0"/>
        <v/>
      </c>
      <c r="H50" s="124" t="str">
        <f>IF(ISNUMBER(K49),IF(DATE(K49+1,H49,E49)&lt;=CB39,H49,""),"")</f>
        <v/>
      </c>
      <c r="I50" s="124"/>
      <c r="J50" s="38" t="str">
        <f t="shared" si="1"/>
        <v/>
      </c>
      <c r="K50" s="124" t="str">
        <f>IF(ISNUMBER(K49),IF(DATE(K49+1,H49,E49)&lt;=CB39,K49+1,""),"")</f>
        <v/>
      </c>
      <c r="L50" s="124"/>
      <c r="M50" s="124"/>
      <c r="N50" s="51"/>
      <c r="O50" s="52"/>
      <c r="P50" s="125" t="str">
        <f>IF(ISNUMBER(K49),IF(DATE(K49+1,H49,E49)&lt;=CB39,IF(AC33="11",IF(MROUND(P49*1.03,100)&lt;=205500,MROUND(P49*1.03,100),205500),IF(AC33="12",IF(MROUND(P49*1.03,100)&lt;=211500,MROUND(P49*1.03,100),211500),IF(AC33="13A",IF(MROUND(P49*1.03,100)&lt;=217100,MROUND(P49*1.03,100),217100),IF(AC33="14",IF(MROUND(P49*1.03,100)&lt;=218200,MROUND(P49*1.03,100),218200),IF(AC33="15",IF(MROUND(P49*1.03,100)&lt;=224100,MROUND(P49*1.03,100),224100),""))))),""),"")</f>
        <v/>
      </c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W50" s="3"/>
    </row>
    <row r="51" spans="2:50" x14ac:dyDescent="0.25">
      <c r="D51" s="5"/>
      <c r="E51" s="124" t="str">
        <f>IF(ISNUMBER(K50),IF(DATE(K50+1,H50,E50)&lt;=CB39,E50,""),"")</f>
        <v/>
      </c>
      <c r="F51" s="124"/>
      <c r="G51" s="17" t="str">
        <f t="shared" si="0"/>
        <v/>
      </c>
      <c r="H51" s="124" t="str">
        <f>IF(ISNUMBER(K50),IF(DATE(K50+1,H50,E50)&lt;=CB39,H50,""),"")</f>
        <v/>
      </c>
      <c r="I51" s="124"/>
      <c r="J51" s="17" t="str">
        <f t="shared" si="1"/>
        <v/>
      </c>
      <c r="K51" s="124" t="str">
        <f>IF(ISNUMBER(K50),IF(DATE(K50+1,H50,E50)&lt;=CB39,K50+1,""),"")</f>
        <v/>
      </c>
      <c r="L51" s="124"/>
      <c r="M51" s="124"/>
      <c r="N51" s="51"/>
      <c r="O51" s="52"/>
      <c r="P51" s="125" t="str">
        <f>IF(ISNUMBER(K50),IF(DATE(K50+1,H50,E50)&lt;=CB39,IF(AC33="11",IF(MROUND(P50*1.03,100)&lt;=205500,MROUND(P50*1.03,100),205500),IF(AC33="12",IF(MROUND(P50*1.03,100)&lt;=211500,MROUND(P50*1.03,100),211500),IF(AC33="13A",IF(MROUND(P50*1.03,100)&lt;=217100,MROUND(P50*1.03,100),217100),IF(AC33="14",IF(MROUND(P50*1.03,100)&lt;=218200,MROUND(P50*1.03,100),218200),IF(AC33="15",IF(MROUND(P50*1.03,100)&lt;=224100,MROUND(P50*1.03,100),224100),""))))),""),"")</f>
        <v/>
      </c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W51" s="3"/>
    </row>
    <row r="52" spans="2:50" x14ac:dyDescent="0.25">
      <c r="D52" s="5"/>
      <c r="E52" s="124" t="str">
        <f>IF(ISNUMBER(K51),IF(DATE(K51+1,H51,E51)&lt;=CB39,E51,""),"")</f>
        <v/>
      </c>
      <c r="F52" s="124"/>
      <c r="G52" s="17" t="str">
        <f t="shared" si="0"/>
        <v/>
      </c>
      <c r="H52" s="124" t="str">
        <f>IF(ISNUMBER(K51),IF(DATE(K51+1,H51,E51)&lt;=CB39,H51,""),"")</f>
        <v/>
      </c>
      <c r="I52" s="124"/>
      <c r="J52" s="38" t="str">
        <f t="shared" si="1"/>
        <v/>
      </c>
      <c r="K52" s="124" t="str">
        <f>IF(ISNUMBER(K51),IF(DATE(K51+1,H51,E51)&lt;=CB39,K51+1,""),"")</f>
        <v/>
      </c>
      <c r="L52" s="124"/>
      <c r="M52" s="124"/>
      <c r="N52" s="51"/>
      <c r="O52" s="52"/>
      <c r="P52" s="125" t="str">
        <f>IF(ISNUMBER(K51),IF(DATE(K51+1,H51,E51)&lt;=CB39,IF(AC33="11",IF(MROUND(P51*1.03,100)&lt;=205500,MROUND(P51*1.03,100),205500),IF(AC33="12",IF(MROUND(P51*1.03,100)&lt;=211500,MROUND(P51*1.03,100),211500),IF(AC33="13A",IF(MROUND(P51*1.03,100)&lt;=217100,MROUND(P51*1.03,100),217100),IF(AC33="14",IF(MROUND(P51*1.03,100)&lt;=218200,MROUND(P51*1.03,100),218200),IF(AC33="15",IF(MROUND(P51*1.03,100)&lt;=224100,MROUND(P51*1.03,100),224100),""))))),""),"")</f>
        <v/>
      </c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W52" s="3"/>
    </row>
    <row r="53" spans="2:50" x14ac:dyDescent="0.25">
      <c r="D53" s="5"/>
      <c r="E53" s="124" t="str">
        <f>IF(ISNUMBER(K52),IF(DATE(K52+1,H52,E52)&lt;=CB39,E52,""),"")</f>
        <v/>
      </c>
      <c r="F53" s="124"/>
      <c r="G53" s="16" t="str">
        <f t="shared" si="0"/>
        <v/>
      </c>
      <c r="H53" s="124" t="str">
        <f>IF(ISNUMBER(K52),IF(DATE(K52+1,H52,E52)&lt;=CB39,H52,""),"")</f>
        <v/>
      </c>
      <c r="I53" s="124"/>
      <c r="J53" s="17" t="str">
        <f t="shared" si="1"/>
        <v/>
      </c>
      <c r="K53" s="124" t="str">
        <f>IF(ISNUMBER(K52),IF(DATE(K52+1,H52,E52)&lt;=CB39,K52+1,""),"")</f>
        <v/>
      </c>
      <c r="L53" s="124"/>
      <c r="M53" s="124"/>
      <c r="N53" s="51"/>
      <c r="O53" s="52"/>
      <c r="P53" s="125" t="str">
        <f>IF(ISNUMBER(K52),IF(DATE(K52+1,H52,E52)&lt;=CB39,IF(AC33="11",IF(MROUND(P52*1.03,100)&lt;=205500,MROUND(P52*1.03,100),205500),IF(AC33="12",IF(MROUND(P52*1.03,100)&lt;=211500,MROUND(P52*1.03,100),211500),IF(AC33="13A",IF(MROUND(P52*1.03,100)&lt;=217100,MROUND(P52*1.03,100),217100),IF(AC33="14",IF(MROUND(P52*1.03,100)&lt;=218200,MROUND(P52*1.03,100),218200),IF(AC33="15",IF(MROUND(P52*1.03,100)&lt;=224100,MROUND(P52*1.03,100),224100),""))))),""),"")</f>
        <v/>
      </c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W53" s="3"/>
    </row>
    <row r="54" spans="2:50" ht="5.0999999999999996" customHeight="1" x14ac:dyDescent="0.25"/>
    <row r="55" spans="2:50" x14ac:dyDescent="0.25">
      <c r="B55" s="113" t="s">
        <v>89</v>
      </c>
      <c r="C55" s="135"/>
      <c r="D55" s="71" t="s">
        <v>37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39" t="s">
        <v>0</v>
      </c>
      <c r="R55" s="126" t="str">
        <f>IF(AND(ISNUMBER(AI45),ISTEXT('Basic Information'!K21)),'Basic Information'!K21,"")</f>
        <v/>
      </c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</row>
    <row r="56" spans="2:50" ht="5.0999999999999996" customHeight="1" x14ac:dyDescent="0.25"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</row>
    <row r="57" spans="2:50" x14ac:dyDescent="0.25"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</row>
    <row r="59" spans="2:50" x14ac:dyDescent="0.25">
      <c r="U59" s="71" t="s">
        <v>38</v>
      </c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</row>
    <row r="60" spans="2:50" ht="5.0999999999999996" customHeight="1" x14ac:dyDescent="0.25"/>
    <row r="61" spans="2:50" x14ac:dyDescent="0.25">
      <c r="D61" s="71" t="s">
        <v>39</v>
      </c>
      <c r="E61" s="136"/>
      <c r="F61" s="136"/>
      <c r="G61" s="136"/>
      <c r="H61" s="136"/>
      <c r="I61" s="39" t="s">
        <v>0</v>
      </c>
      <c r="J61" s="71" t="str">
        <f>IF(ISBLANK('Basic Information'!K25),"",PROPER('Basic Information'!K25))</f>
        <v/>
      </c>
      <c r="K61" s="71"/>
      <c r="L61" s="71"/>
      <c r="M61" s="71"/>
      <c r="N61" s="71"/>
      <c r="O61" s="71"/>
      <c r="P61" s="71"/>
      <c r="Q61" s="71"/>
      <c r="R61" s="71"/>
      <c r="S61" s="71"/>
      <c r="T61" s="71"/>
    </row>
    <row r="62" spans="2:50" ht="5.0999999999999996" customHeight="1" x14ac:dyDescent="0.25"/>
    <row r="63" spans="2:50" x14ac:dyDescent="0.25">
      <c r="D63" s="71" t="s">
        <v>1</v>
      </c>
      <c r="E63" s="136"/>
      <c r="F63" s="136"/>
      <c r="G63" s="136"/>
      <c r="H63" s="136"/>
      <c r="I63" s="40" t="s">
        <v>0</v>
      </c>
      <c r="J63" s="71" t="str">
        <f>IF(AND(ISNUMBER('Basic Information'!K27),ISNUMBER('Basic Information'!N27),ISNUMBER('Basic Information'!Q27)),'Basic Information'!K27 &amp;"/"&amp; 'Basic Information'!N27 &amp;"/"&amp;'Basic Information'!Q27,"")</f>
        <v/>
      </c>
      <c r="K63" s="71"/>
      <c r="L63" s="71"/>
      <c r="M63" s="71"/>
      <c r="N63" s="71"/>
      <c r="O63" s="71"/>
      <c r="P63" s="71"/>
      <c r="Q63" s="71"/>
      <c r="R63" s="71"/>
      <c r="S63" s="71"/>
      <c r="T63" s="71"/>
      <c r="AA63" s="128" t="s">
        <v>40</v>
      </c>
      <c r="AB63" s="140"/>
      <c r="AC63" s="140"/>
      <c r="AD63" s="140"/>
      <c r="AE63" s="140"/>
      <c r="AF63" s="140"/>
      <c r="AG63" s="140"/>
      <c r="AH63" s="140"/>
      <c r="AI63" s="140"/>
      <c r="AJ63" s="140"/>
    </row>
  </sheetData>
  <sheetProtection algorithmName="SHA-512" hashValue="4TuzqGPuUVMUCJhMpS867c4IoBrNppzTinn9fJCR7jj3CXn15iLzaLvh0k1LBqVl3ei9zQxcovyoNU3UMlO4AA==" saltValue="4M9om7PVNJqusIbtehHMKg==" spinCount="100000" sheet="1" selectLockedCells="1"/>
  <mergeCells count="107">
    <mergeCell ref="D63:H63"/>
    <mergeCell ref="J63:T63"/>
    <mergeCell ref="AA63:AJ63"/>
    <mergeCell ref="B25:C25"/>
    <mergeCell ref="D25:AA25"/>
    <mergeCell ref="B27:C27"/>
    <mergeCell ref="D27:AA27"/>
    <mergeCell ref="AC27:AV27"/>
    <mergeCell ref="B29:C29"/>
    <mergeCell ref="B55:C55"/>
    <mergeCell ref="U59:AV59"/>
    <mergeCell ref="D61:H61"/>
    <mergeCell ref="J61:T61"/>
    <mergeCell ref="E52:F52"/>
    <mergeCell ref="H52:I52"/>
    <mergeCell ref="K52:M52"/>
    <mergeCell ref="P52:AU52"/>
    <mergeCell ref="E53:F53"/>
    <mergeCell ref="H53:I53"/>
    <mergeCell ref="K53:M53"/>
    <mergeCell ref="P53:AU53"/>
    <mergeCell ref="E50:F50"/>
    <mergeCell ref="H50:I50"/>
    <mergeCell ref="K50:M50"/>
    <mergeCell ref="P50:AU50"/>
    <mergeCell ref="E51:F51"/>
    <mergeCell ref="H51:I51"/>
    <mergeCell ref="K51:M51"/>
    <mergeCell ref="P51:AU51"/>
    <mergeCell ref="E48:F48"/>
    <mergeCell ref="H48:I48"/>
    <mergeCell ref="K48:M48"/>
    <mergeCell ref="P48:AU48"/>
    <mergeCell ref="E49:F49"/>
    <mergeCell ref="H49:I49"/>
    <mergeCell ref="K49:M49"/>
    <mergeCell ref="P49:AU49"/>
    <mergeCell ref="B45:C45"/>
    <mergeCell ref="D45:AA45"/>
    <mergeCell ref="AC45:AD45"/>
    <mergeCell ref="AF45:AG45"/>
    <mergeCell ref="AI45:AL45"/>
    <mergeCell ref="D47:O47"/>
    <mergeCell ref="P47:AU47"/>
    <mergeCell ref="B37:C37"/>
    <mergeCell ref="D37:AA37"/>
    <mergeCell ref="AC37:AV37"/>
    <mergeCell ref="B39:C39"/>
    <mergeCell ref="D39:AA39"/>
    <mergeCell ref="AC39:AV39"/>
    <mergeCell ref="B41:C41"/>
    <mergeCell ref="D41:AA41"/>
    <mergeCell ref="AC41:AV41"/>
    <mergeCell ref="B43:C43"/>
    <mergeCell ref="D43:AA43"/>
    <mergeCell ref="AC43:AV43"/>
    <mergeCell ref="D35:AA35"/>
    <mergeCell ref="AC35:AV35"/>
    <mergeCell ref="B23:C23"/>
    <mergeCell ref="D23:AA23"/>
    <mergeCell ref="AC23:AV23"/>
    <mergeCell ref="B31:C31"/>
    <mergeCell ref="D31:AA31"/>
    <mergeCell ref="AC31:AV31"/>
    <mergeCell ref="D29:AA29"/>
    <mergeCell ref="AC29:AV29"/>
    <mergeCell ref="AC25:AD25"/>
    <mergeCell ref="AF25:AG25"/>
    <mergeCell ref="AI25:AL25"/>
    <mergeCell ref="BZ2:CE3"/>
    <mergeCell ref="BZ4:CE7"/>
    <mergeCell ref="BZ8:CE11"/>
    <mergeCell ref="D9:AA9"/>
    <mergeCell ref="AC9:AX9"/>
    <mergeCell ref="B11:C11"/>
    <mergeCell ref="D11:AA11"/>
    <mergeCell ref="AC11:AX11"/>
    <mergeCell ref="B13:C13"/>
    <mergeCell ref="D13:AA13"/>
    <mergeCell ref="AC13:AV13"/>
    <mergeCell ref="B2:AW2"/>
    <mergeCell ref="BZ12:CE17"/>
    <mergeCell ref="B4:AW5"/>
    <mergeCell ref="D55:P55"/>
    <mergeCell ref="R55:AX57"/>
    <mergeCell ref="B7:C7"/>
    <mergeCell ref="D7:AA7"/>
    <mergeCell ref="AC7:AX7"/>
    <mergeCell ref="B9:C9"/>
    <mergeCell ref="B19:C19"/>
    <mergeCell ref="D19:AA19"/>
    <mergeCell ref="AC19:AV19"/>
    <mergeCell ref="B21:C21"/>
    <mergeCell ref="D21:AA21"/>
    <mergeCell ref="AC21:AV21"/>
    <mergeCell ref="B15:C15"/>
    <mergeCell ref="D15:AA15"/>
    <mergeCell ref="AC15:AD15"/>
    <mergeCell ref="AF15:AG15"/>
    <mergeCell ref="AI15:AL15"/>
    <mergeCell ref="B17:C17"/>
    <mergeCell ref="D17:AA17"/>
    <mergeCell ref="AC17:AX17"/>
    <mergeCell ref="B33:C33"/>
    <mergeCell ref="D33:AA33"/>
    <mergeCell ref="AC33:AV33"/>
    <mergeCell ref="B35:C35"/>
  </mergeCells>
  <pageMargins left="0.70866141732283472" right="0.70866141732283472" top="0.39370078740157483" bottom="0.31496062992125984" header="0" footer="0"/>
  <pageSetup paperSize="9" orientation="portrait" blackAndWhite="1" r:id="rId1"/>
  <ignoredErrors>
    <ignoredError sqref="B7 B9 B11 B13 B15 B17 B19 B21 B23 B25 B27 B29 B31 B33 B35 B37 B39 B41 B43 B45 B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Basic Information</vt:lpstr>
      <vt:lpstr>Form of Option</vt:lpstr>
      <vt:lpstr>Fixation Without Option</vt:lpstr>
      <vt:lpstr>Fixation With Option</vt:lpstr>
      <vt:lpstr>'Fixation With Option'!Print_Area</vt:lpstr>
      <vt:lpstr>'Fixation Without Option'!Print_Area</vt:lpstr>
      <vt:lpstr>'Form of Option'!Print_Area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2023-09-21T15:18:17Z</dcterms:modified>
</cp:coreProperties>
</file>